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filterPrivacy="1" defaultThemeVersion="124226"/>
  <xr:revisionPtr revIDLastSave="893" documentId="8_{3CAAF154-D2A3-46FE-B5C3-184F60130538}" xr6:coauthVersionLast="47" xr6:coauthVersionMax="47" xr10:uidLastSave="{688FFF61-67E5-48EB-9FC0-11ADF8B5577F}"/>
  <bookViews>
    <workbookView xWindow="-120" yWindow="-120" windowWidth="29040" windowHeight="15720" tabRatio="921" activeTab="6"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Clothing" sheetId="50" r:id="rId7"/>
    <sheet name="Clothing calculations" sheetId="56" r:id="rId8"/>
    <sheet name="WWTP TCs" sheetId="55" r:id="rId9"/>
    <sheet name="Textiles" sheetId="26" r:id="rId10"/>
    <sheet name="Textile waste collection" sheetId="53" r:id="rId11"/>
    <sheet name="Pellets" sheetId="46" r:id="rId12"/>
    <sheet name="Tyre wear" sheetId="44" r:id="rId13"/>
    <sheet name="Paints and Coatings" sheetId="39" r:id="rId14"/>
    <sheet name="Agriculture" sheetId="38" r:id="rId15"/>
    <sheet name="Intentionally_produced_MPs" sheetId="22" r:id="rId16"/>
    <sheet name="Packaging" sheetId="35" r:id="rId17"/>
    <sheet name="Recycling TCs" sheetId="37" r:id="rId18"/>
    <sheet name="Compost TCs" sheetId="43" r:id="rId19"/>
    <sheet name="Scaling tables" sheetId="45" r:id="rId20"/>
    <sheet name="Input projections" sheetId="47" r:id="rId21"/>
    <sheet name="Lifetimes" sheetId="13" r:id="rId22"/>
    <sheet name="Lifetimes_pairs" sheetId="25" r:id="rId23"/>
    <sheet name="Lifetimes_references" sheetId="48" r:id="rId24"/>
    <sheet name="Compartments" sheetId="33" r:id="rId25"/>
    <sheet name="Compartments_Kawecki&amp;Nowack19" sheetId="23" r:id="rId26"/>
    <sheet name="Compartments_Added" sheetId="36" r:id="rId27"/>
    <sheet name="Check_Compartments" sheetId="30" r:id="rId28"/>
    <sheet name="Input_Global" sheetId="52" r:id="rId29"/>
  </sheets>
  <definedNames>
    <definedName name="_xlnm._FilterDatabase" localSheetId="24" hidden="1">Compartments!$A$1:$D$407</definedName>
    <definedName name="_xlnm._FilterDatabase" localSheetId="26" hidden="1">Compartments_Added!$A$2:$C$197</definedName>
    <definedName name="_xlnm._FilterDatabase" localSheetId="25" hidden="1">'Compartments_Kawecki&amp;Nowack19'!$A$2:$F$136</definedName>
    <definedName name="_xlnm._FilterDatabase" localSheetId="4" hidden="1">Input_EU!$A$1:$L$810</definedName>
    <definedName name="_xlnm._FilterDatabase" localSheetId="3" hidden="1">Input_NL!$A$1:$L$1147</definedName>
    <definedName name="_xlnm._FilterDatabase" localSheetId="22" hidden="1">Lifetimes_pairs!$A$1:$B$93</definedName>
    <definedName name="_xlnm._FilterDatabase" localSheetId="13" hidden="1">'Paints and Coatings'!$A$60:$P$315</definedName>
    <definedName name="_xlnm._FilterDatabase" localSheetId="5" hidden="1">'Transfer coefficients'!$A$1:$P$1462</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 i="50" l="1"/>
  <c r="I20" i="50"/>
  <c r="E1347" i="19"/>
  <c r="E78" i="56" l="1"/>
  <c r="E79" i="56"/>
  <c r="E60" i="56"/>
  <c r="F814" i="20" l="1"/>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J813" i="20"/>
  <c r="I813" i="20"/>
  <c r="H813" i="20"/>
  <c r="G813" i="20"/>
  <c r="F813" i="20"/>
  <c r="E346" i="50"/>
  <c r="E345" i="50"/>
  <c r="E344" i="50"/>
  <c r="E343" i="50"/>
  <c r="E342" i="50"/>
  <c r="E341" i="50"/>
  <c r="E340" i="50"/>
  <c r="E339" i="50"/>
  <c r="E338" i="50"/>
  <c r="E337" i="50"/>
  <c r="B1175" i="19"/>
  <c r="B1176" i="19"/>
  <c r="B1177" i="19"/>
  <c r="H1382" i="19"/>
  <c r="I1382" i="19"/>
  <c r="J1382" i="19"/>
  <c r="K1382" i="19"/>
  <c r="L1382" i="19"/>
  <c r="M1382" i="19"/>
  <c r="B50" i="56"/>
  <c r="C50" i="56"/>
  <c r="D50" i="56"/>
  <c r="E50" i="56"/>
  <c r="F50" i="56"/>
  <c r="G50" i="56"/>
  <c r="H50" i="56"/>
  <c r="I50" i="56"/>
  <c r="I97" i="56" s="1"/>
  <c r="J50" i="56"/>
  <c r="J97" i="56" s="1"/>
  <c r="K50" i="56"/>
  <c r="K97" i="56" s="1"/>
  <c r="L50" i="56"/>
  <c r="L97" i="56" s="1"/>
  <c r="M50" i="56"/>
  <c r="M91" i="56" s="1"/>
  <c r="E56" i="56"/>
  <c r="A185" i="56"/>
  <c r="A184" i="56"/>
  <c r="E183" i="56"/>
  <c r="D183" i="56"/>
  <c r="C183" i="56"/>
  <c r="B183" i="56"/>
  <c r="E159" i="56"/>
  <c r="D159" i="56"/>
  <c r="C159" i="56"/>
  <c r="B159" i="56"/>
  <c r="A159" i="56"/>
  <c r="E158" i="56"/>
  <c r="D158" i="56"/>
  <c r="C158" i="56"/>
  <c r="B158" i="56"/>
  <c r="A158" i="56"/>
  <c r="E157" i="56"/>
  <c r="D157" i="56"/>
  <c r="C157" i="56"/>
  <c r="B157" i="56"/>
  <c r="A157" i="56"/>
  <c r="D156" i="56"/>
  <c r="C156" i="56"/>
  <c r="B156" i="56"/>
  <c r="B140" i="56"/>
  <c r="B145" i="56" s="1"/>
  <c r="B132" i="56"/>
  <c r="M123" i="56"/>
  <c r="L123" i="56"/>
  <c r="K123" i="56"/>
  <c r="J123" i="56"/>
  <c r="I123" i="56"/>
  <c r="H123" i="56"/>
  <c r="D123" i="56"/>
  <c r="D122" i="56"/>
  <c r="M121" i="56"/>
  <c r="L121" i="56"/>
  <c r="K121" i="56"/>
  <c r="J121" i="56"/>
  <c r="I121" i="56"/>
  <c r="H121" i="56"/>
  <c r="G121" i="56"/>
  <c r="D121" i="56"/>
  <c r="M120" i="56"/>
  <c r="L120" i="56"/>
  <c r="K120" i="56"/>
  <c r="J120" i="56"/>
  <c r="I120" i="56"/>
  <c r="H120" i="56"/>
  <c r="G120" i="56"/>
  <c r="D120" i="56"/>
  <c r="M119" i="56"/>
  <c r="L119" i="56"/>
  <c r="K119" i="56"/>
  <c r="J119" i="56"/>
  <c r="I119" i="56"/>
  <c r="H119" i="56"/>
  <c r="G119" i="56"/>
  <c r="D119" i="56"/>
  <c r="M118" i="56"/>
  <c r="L118" i="56"/>
  <c r="K118" i="56"/>
  <c r="J118" i="56"/>
  <c r="I118" i="56"/>
  <c r="H118" i="56"/>
  <c r="G118" i="56"/>
  <c r="D118" i="56"/>
  <c r="M117" i="56"/>
  <c r="L117" i="56"/>
  <c r="K117" i="56"/>
  <c r="J117" i="56"/>
  <c r="I117" i="56"/>
  <c r="H117" i="56"/>
  <c r="G117" i="56"/>
  <c r="D117" i="56"/>
  <c r="M116" i="56"/>
  <c r="L116" i="56"/>
  <c r="K116" i="56"/>
  <c r="J116" i="56"/>
  <c r="I116" i="56"/>
  <c r="H116" i="56"/>
  <c r="G116" i="56"/>
  <c r="D116" i="56"/>
  <c r="M115" i="56"/>
  <c r="L115" i="56"/>
  <c r="K115" i="56"/>
  <c r="J115" i="56"/>
  <c r="I115" i="56"/>
  <c r="H115" i="56"/>
  <c r="G115" i="56"/>
  <c r="D115" i="56"/>
  <c r="M114" i="56"/>
  <c r="L114" i="56"/>
  <c r="K114" i="56"/>
  <c r="J114" i="56"/>
  <c r="I114" i="56"/>
  <c r="H114" i="56"/>
  <c r="G114" i="56"/>
  <c r="D114" i="56"/>
  <c r="M108" i="56"/>
  <c r="L108" i="56"/>
  <c r="K108" i="56"/>
  <c r="J108" i="56"/>
  <c r="I108" i="56"/>
  <c r="H108" i="56"/>
  <c r="G108" i="56"/>
  <c r="E108" i="56"/>
  <c r="M107" i="56"/>
  <c r="L107" i="56"/>
  <c r="K107" i="56"/>
  <c r="J107" i="56"/>
  <c r="I107" i="56"/>
  <c r="H107" i="56"/>
  <c r="G107" i="56"/>
  <c r="E107" i="56"/>
  <c r="M105" i="56"/>
  <c r="M102" i="56" s="1"/>
  <c r="L105" i="56"/>
  <c r="L102" i="56" s="1"/>
  <c r="K105" i="56"/>
  <c r="K102" i="56" s="1"/>
  <c r="J105" i="56"/>
  <c r="J102" i="56" s="1"/>
  <c r="I105" i="56"/>
  <c r="I102" i="56" s="1"/>
  <c r="H105" i="56"/>
  <c r="H102" i="56" s="1"/>
  <c r="G105" i="56"/>
  <c r="G102" i="56" s="1"/>
  <c r="M99" i="56"/>
  <c r="M113" i="56" s="1"/>
  <c r="L99" i="56"/>
  <c r="L113" i="56" s="1"/>
  <c r="K99" i="56"/>
  <c r="K113" i="56" s="1"/>
  <c r="J99" i="56"/>
  <c r="J113" i="56" s="1"/>
  <c r="I99" i="56"/>
  <c r="I113" i="56" s="1"/>
  <c r="H99" i="56"/>
  <c r="H113" i="56" s="1"/>
  <c r="G99" i="56"/>
  <c r="G113" i="56" s="1"/>
  <c r="M96" i="56"/>
  <c r="L96" i="56"/>
  <c r="K96" i="56"/>
  <c r="J96" i="56"/>
  <c r="I96" i="56"/>
  <c r="H96" i="56"/>
  <c r="G96" i="56"/>
  <c r="E96" i="56"/>
  <c r="E102" i="56" s="1"/>
  <c r="E105" i="56" s="1"/>
  <c r="M93" i="56"/>
  <c r="L93" i="56"/>
  <c r="K93" i="56"/>
  <c r="J93" i="56"/>
  <c r="I93" i="56"/>
  <c r="H93" i="56"/>
  <c r="G93" i="56"/>
  <c r="E93" i="56"/>
  <c r="E92" i="56"/>
  <c r="M90" i="56"/>
  <c r="L90" i="56"/>
  <c r="K90" i="56"/>
  <c r="J90" i="56"/>
  <c r="I90" i="56"/>
  <c r="H90" i="56"/>
  <c r="G90" i="56"/>
  <c r="M89" i="56"/>
  <c r="L89" i="56"/>
  <c r="K89" i="56"/>
  <c r="J89" i="56"/>
  <c r="I89" i="56"/>
  <c r="H89" i="56"/>
  <c r="G89" i="56"/>
  <c r="M88" i="56"/>
  <c r="L88" i="56"/>
  <c r="K88" i="56"/>
  <c r="J88" i="56"/>
  <c r="I88" i="56"/>
  <c r="H88" i="56"/>
  <c r="G88" i="56"/>
  <c r="M85" i="56"/>
  <c r="L85" i="56"/>
  <c r="K85" i="56"/>
  <c r="J85" i="56"/>
  <c r="I85" i="56"/>
  <c r="H85" i="56"/>
  <c r="G85" i="56"/>
  <c r="M82" i="56"/>
  <c r="L82" i="56"/>
  <c r="K82" i="56"/>
  <c r="J82" i="56"/>
  <c r="I82" i="56"/>
  <c r="H82" i="56"/>
  <c r="G82" i="56"/>
  <c r="E82" i="56"/>
  <c r="E81" i="56"/>
  <c r="M80" i="56"/>
  <c r="L80" i="56"/>
  <c r="K80" i="56"/>
  <c r="J80" i="56"/>
  <c r="I80" i="56"/>
  <c r="H80" i="56"/>
  <c r="G80" i="56"/>
  <c r="M79" i="56"/>
  <c r="L79" i="56"/>
  <c r="K79" i="56"/>
  <c r="J79" i="56"/>
  <c r="I79" i="56"/>
  <c r="H79" i="56"/>
  <c r="G79" i="56"/>
  <c r="M77" i="56"/>
  <c r="L77" i="56"/>
  <c r="K77" i="56"/>
  <c r="J77" i="56"/>
  <c r="I77" i="56"/>
  <c r="H77" i="56"/>
  <c r="G77" i="56"/>
  <c r="E77" i="56"/>
  <c r="M74" i="56"/>
  <c r="L74" i="56"/>
  <c r="K74" i="56"/>
  <c r="J74" i="56"/>
  <c r="I74" i="56"/>
  <c r="H74" i="56"/>
  <c r="G74" i="56"/>
  <c r="E74" i="56"/>
  <c r="M71" i="56"/>
  <c r="L71" i="56"/>
  <c r="K71" i="56"/>
  <c r="J71" i="56"/>
  <c r="I71" i="56"/>
  <c r="H71" i="56"/>
  <c r="G71" i="56"/>
  <c r="M70" i="56"/>
  <c r="L70" i="56"/>
  <c r="K70" i="56"/>
  <c r="J70" i="56"/>
  <c r="I70" i="56"/>
  <c r="H70" i="56"/>
  <c r="G70" i="56"/>
  <c r="M69" i="56"/>
  <c r="L69" i="56"/>
  <c r="K69" i="56"/>
  <c r="J69" i="56"/>
  <c r="I69" i="56"/>
  <c r="H69" i="56"/>
  <c r="G69" i="56"/>
  <c r="M63" i="56"/>
  <c r="M78" i="56" s="1"/>
  <c r="L63" i="56"/>
  <c r="L78" i="56" s="1"/>
  <c r="K63" i="56"/>
  <c r="K78" i="56" s="1"/>
  <c r="J63" i="56"/>
  <c r="J78" i="56" s="1"/>
  <c r="I63" i="56"/>
  <c r="I78" i="56" s="1"/>
  <c r="H63" i="56"/>
  <c r="H78" i="56" s="1"/>
  <c r="G63" i="56"/>
  <c r="G78" i="56" s="1"/>
  <c r="M60" i="56"/>
  <c r="L60" i="56"/>
  <c r="K60" i="56"/>
  <c r="J60" i="56"/>
  <c r="I60" i="56"/>
  <c r="H60" i="56"/>
  <c r="G60" i="56"/>
  <c r="M59" i="56"/>
  <c r="L59" i="56"/>
  <c r="K59" i="56"/>
  <c r="J59" i="56"/>
  <c r="I59" i="56"/>
  <c r="H59" i="56"/>
  <c r="G59" i="56"/>
  <c r="M58" i="56"/>
  <c r="M122" i="56" s="1"/>
  <c r="L58" i="56"/>
  <c r="L122" i="56" s="1"/>
  <c r="K58" i="56"/>
  <c r="K122" i="56" s="1"/>
  <c r="J58" i="56"/>
  <c r="J122" i="56" s="1"/>
  <c r="I58" i="56"/>
  <c r="I122" i="56" s="1"/>
  <c r="H58" i="56"/>
  <c r="H122" i="56" s="1"/>
  <c r="G58" i="56"/>
  <c r="E58" i="56"/>
  <c r="E99" i="56"/>
  <c r="E113" i="56" s="1"/>
  <c r="H97" i="56"/>
  <c r="G72" i="56"/>
  <c r="F72" i="56"/>
  <c r="E72" i="56"/>
  <c r="M43" i="56"/>
  <c r="M111" i="56" s="1"/>
  <c r="L43" i="56"/>
  <c r="L111" i="56" s="1"/>
  <c r="K43" i="56"/>
  <c r="K111" i="56" s="1"/>
  <c r="J43" i="56"/>
  <c r="J111" i="56" s="1"/>
  <c r="I43" i="56"/>
  <c r="I111" i="56" s="1"/>
  <c r="H43" i="56"/>
  <c r="H111" i="56" s="1"/>
  <c r="G43" i="56"/>
  <c r="G111" i="56" s="1"/>
  <c r="F43" i="56"/>
  <c r="E43" i="56"/>
  <c r="E111" i="56" s="1"/>
  <c r="D43" i="56"/>
  <c r="C43" i="56"/>
  <c r="B43" i="56"/>
  <c r="M41" i="56"/>
  <c r="L41" i="56"/>
  <c r="K41" i="56"/>
  <c r="J41" i="56"/>
  <c r="I41" i="56"/>
  <c r="H41" i="56"/>
  <c r="G41" i="56"/>
  <c r="G123" i="56" s="1"/>
  <c r="E41" i="56"/>
  <c r="E123" i="56" s="1"/>
  <c r="M40" i="56"/>
  <c r="L40" i="56"/>
  <c r="K40" i="56"/>
  <c r="J40" i="56"/>
  <c r="I40" i="56"/>
  <c r="H40" i="56"/>
  <c r="G40" i="56"/>
  <c r="G122" i="56" s="1"/>
  <c r="E40" i="56"/>
  <c r="E122" i="56" s="1"/>
  <c r="G29" i="56"/>
  <c r="E29" i="56"/>
  <c r="C29" i="56"/>
  <c r="D29" i="56" s="1"/>
  <c r="G28" i="56"/>
  <c r="E28" i="56"/>
  <c r="C28" i="56"/>
  <c r="D28" i="56" s="1"/>
  <c r="G27" i="56"/>
  <c r="E27" i="56"/>
  <c r="C27" i="56"/>
  <c r="D27" i="56" s="1"/>
  <c r="E19" i="56"/>
  <c r="E18" i="56"/>
  <c r="E10" i="56"/>
  <c r="E8" i="56"/>
  <c r="E3" i="56"/>
  <c r="B14" i="55"/>
  <c r="B15" i="55" s="1"/>
  <c r="I1260" i="19"/>
  <c r="J1260" i="19"/>
  <c r="K1260" i="19"/>
  <c r="L1260" i="19"/>
  <c r="M1260" i="19"/>
  <c r="H1260" i="19"/>
  <c r="B1259" i="19"/>
  <c r="C1259" i="19"/>
  <c r="D1259" i="19"/>
  <c r="F1259" i="19"/>
  <c r="G1259" i="19"/>
  <c r="H1259" i="19"/>
  <c r="I1259" i="19"/>
  <c r="J1259" i="19"/>
  <c r="K1259" i="19"/>
  <c r="L1259" i="19"/>
  <c r="M1259" i="19"/>
  <c r="A1259" i="19"/>
  <c r="E565" i="50"/>
  <c r="E566" i="50" s="1"/>
  <c r="E1259" i="19" s="1"/>
  <c r="D162" i="56" l="1"/>
  <c r="E47" i="56"/>
  <c r="B162" i="56"/>
  <c r="E48" i="56"/>
  <c r="C162" i="56"/>
  <c r="E162" i="56"/>
  <c r="H28" i="56"/>
  <c r="H72" i="56"/>
  <c r="H29" i="56"/>
  <c r="F29" i="56"/>
  <c r="H27" i="56"/>
  <c r="F27" i="56"/>
  <c r="B147" i="56"/>
  <c r="B146" i="56"/>
  <c r="I72" i="56"/>
  <c r="K72" i="56"/>
  <c r="E106" i="56"/>
  <c r="H61" i="56"/>
  <c r="E97" i="56"/>
  <c r="J61" i="56"/>
  <c r="E66" i="56"/>
  <c r="E69" i="56" s="1"/>
  <c r="E59" i="56"/>
  <c r="F28" i="56"/>
  <c r="J72" i="56"/>
  <c r="E80" i="56"/>
  <c r="F106" i="56"/>
  <c r="E91" i="56"/>
  <c r="G106" i="56"/>
  <c r="L72" i="56"/>
  <c r="F91" i="56"/>
  <c r="H106" i="56"/>
  <c r="M97" i="56"/>
  <c r="G61" i="56"/>
  <c r="M72" i="56"/>
  <c r="G91" i="56"/>
  <c r="I106" i="56"/>
  <c r="H91" i="56"/>
  <c r="G97" i="56"/>
  <c r="J106" i="56"/>
  <c r="I61" i="56"/>
  <c r="I91" i="56"/>
  <c r="K106" i="56"/>
  <c r="J91" i="56"/>
  <c r="L106" i="56"/>
  <c r="K61" i="56"/>
  <c r="K91" i="56"/>
  <c r="M106" i="56"/>
  <c r="L61" i="56"/>
  <c r="L91" i="56"/>
  <c r="M61" i="56"/>
  <c r="A1266" i="19"/>
  <c r="B1266" i="19"/>
  <c r="C1266" i="19"/>
  <c r="D1266" i="19"/>
  <c r="E1266" i="19"/>
  <c r="F1266" i="19"/>
  <c r="H1266" i="19"/>
  <c r="I1266" i="19"/>
  <c r="J1266" i="19"/>
  <c r="K1266" i="19"/>
  <c r="L1266" i="19"/>
  <c r="M1266" i="19"/>
  <c r="A1267" i="19"/>
  <c r="B1267" i="19"/>
  <c r="C1267" i="19"/>
  <c r="D1267" i="19"/>
  <c r="E1267" i="19"/>
  <c r="F1267" i="19"/>
  <c r="H1267" i="19"/>
  <c r="I1267" i="19"/>
  <c r="J1267" i="19"/>
  <c r="K1267" i="19"/>
  <c r="L1267" i="19"/>
  <c r="M1267" i="19"/>
  <c r="E54" i="56" l="1"/>
  <c r="E55" i="56" s="1"/>
  <c r="E63" i="56" s="1"/>
  <c r="E85" i="56"/>
  <c r="E71" i="56"/>
  <c r="J136" i="56"/>
  <c r="J139" i="56" s="1"/>
  <c r="E165" i="56" s="1"/>
  <c r="E168" i="56" s="1"/>
  <c r="E180" i="56" s="1"/>
  <c r="E185" i="56" s="1"/>
  <c r="I136" i="56"/>
  <c r="I139" i="56" s="1"/>
  <c r="D165" i="56" s="1"/>
  <c r="D168" i="56" s="1"/>
  <c r="D180" i="56" s="1"/>
  <c r="D185" i="56" s="1"/>
  <c r="H136" i="56"/>
  <c r="H139" i="56" s="1"/>
  <c r="C165" i="56" s="1"/>
  <c r="C168" i="56" s="1"/>
  <c r="C180" i="56" s="1"/>
  <c r="C185" i="56" s="1"/>
  <c r="G136" i="56"/>
  <c r="G139" i="56" s="1"/>
  <c r="B165" i="56" s="1"/>
  <c r="B168" i="56" s="1"/>
  <c r="B180" i="56" s="1"/>
  <c r="B185" i="56" s="1"/>
  <c r="J135" i="56"/>
  <c r="J138" i="56" s="1"/>
  <c r="E164" i="56" s="1"/>
  <c r="E167" i="56" s="1"/>
  <c r="E179" i="56" s="1"/>
  <c r="E184" i="56" s="1"/>
  <c r="I135" i="56"/>
  <c r="I138" i="56" s="1"/>
  <c r="D164" i="56" s="1"/>
  <c r="D167" i="56" s="1"/>
  <c r="D179" i="56" s="1"/>
  <c r="D184" i="56" s="1"/>
  <c r="H135" i="56"/>
  <c r="H138" i="56" s="1"/>
  <c r="C164" i="56" s="1"/>
  <c r="C167" i="56" s="1"/>
  <c r="C179" i="56" s="1"/>
  <c r="C184" i="56" s="1"/>
  <c r="G135" i="56"/>
  <c r="G138" i="56" s="1"/>
  <c r="B164" i="56" s="1"/>
  <c r="B167" i="56" s="1"/>
  <c r="B179" i="56" s="1"/>
  <c r="B184" i="56" s="1"/>
  <c r="E88" i="56"/>
  <c r="E70" i="56"/>
  <c r="O70" i="55"/>
  <c r="N70" i="55"/>
  <c r="O69" i="55"/>
  <c r="N69" i="55"/>
  <c r="O68" i="55"/>
  <c r="N68" i="55"/>
  <c r="O67" i="55"/>
  <c r="N67" i="55"/>
  <c r="O66" i="55"/>
  <c r="N66" i="55"/>
  <c r="O65" i="55"/>
  <c r="N65" i="55"/>
  <c r="O64" i="55"/>
  <c r="N64" i="55"/>
  <c r="O63" i="55"/>
  <c r="N63" i="55"/>
  <c r="O62" i="55"/>
  <c r="N62" i="55"/>
  <c r="O61" i="55"/>
  <c r="N61" i="55"/>
  <c r="O60" i="55"/>
  <c r="N60" i="55"/>
  <c r="O59" i="55"/>
  <c r="N59" i="55"/>
  <c r="O58" i="55"/>
  <c r="N58" i="55"/>
  <c r="O57" i="55"/>
  <c r="N57" i="55"/>
  <c r="O56" i="55"/>
  <c r="N56" i="55"/>
  <c r="O55" i="55"/>
  <c r="N55" i="55"/>
  <c r="O54" i="55"/>
  <c r="N54" i="55"/>
  <c r="O53" i="55"/>
  <c r="N53" i="55"/>
  <c r="O52" i="55"/>
  <c r="N52" i="55"/>
  <c r="O51" i="55"/>
  <c r="N51" i="55"/>
  <c r="O50" i="55"/>
  <c r="N50" i="55"/>
  <c r="O49" i="55"/>
  <c r="N49" i="55"/>
  <c r="B12" i="55"/>
  <c r="D3" i="55"/>
  <c r="B8" i="55" s="1"/>
  <c r="K24" i="55" s="1"/>
  <c r="D5" i="55"/>
  <c r="D4" i="55"/>
  <c r="D241" i="36"/>
  <c r="D242" i="36"/>
  <c r="D243" i="36"/>
  <c r="D244" i="36"/>
  <c r="D240" i="36"/>
  <c r="D239" i="36"/>
  <c r="G1382" i="19"/>
  <c r="A1408" i="19"/>
  <c r="A1409" i="19"/>
  <c r="A1410" i="19"/>
  <c r="A1411" i="19"/>
  <c r="A1412" i="19"/>
  <c r="A1413" i="19"/>
  <c r="A1414" i="19"/>
  <c r="A1415" i="19"/>
  <c r="A1416" i="19"/>
  <c r="A1417" i="19"/>
  <c r="A1418" i="19"/>
  <c r="A1419" i="19"/>
  <c r="A1420"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381" i="19"/>
  <c r="F519" i="50"/>
  <c r="F1379" i="19" s="1"/>
  <c r="F515" i="50"/>
  <c r="F1375" i="19" s="1"/>
  <c r="N1364" i="19"/>
  <c r="O1364" i="19"/>
  <c r="O1379" i="19"/>
  <c r="N1346" i="19"/>
  <c r="O1346" i="19"/>
  <c r="N1350" i="19"/>
  <c r="O1350" i="19"/>
  <c r="N1354" i="19"/>
  <c r="O1354" i="19"/>
  <c r="N1356" i="19"/>
  <c r="O1356" i="19"/>
  <c r="N1360" i="19"/>
  <c r="O1360" i="19"/>
  <c r="A1346" i="19"/>
  <c r="A1347" i="19"/>
  <c r="A1348" i="19"/>
  <c r="A1349" i="19"/>
  <c r="A1350" i="19"/>
  <c r="A1351" i="19"/>
  <c r="A1352" i="19"/>
  <c r="A1353" i="19"/>
  <c r="A1354" i="19"/>
  <c r="A1355" i="19"/>
  <c r="A1356" i="19"/>
  <c r="A1357" i="19"/>
  <c r="A1358" i="19"/>
  <c r="A1359" i="19"/>
  <c r="A1360" i="19"/>
  <c r="A1361" i="19"/>
  <c r="A1362" i="19"/>
  <c r="A1363" i="19"/>
  <c r="A1364" i="19"/>
  <c r="A1345" i="19"/>
  <c r="C549" i="50"/>
  <c r="C1407" i="19" s="1"/>
  <c r="D549" i="50"/>
  <c r="D1407" i="19" s="1"/>
  <c r="F549" i="50"/>
  <c r="F1407" i="19" s="1"/>
  <c r="B549" i="50"/>
  <c r="B1407" i="19" s="1"/>
  <c r="B517" i="50"/>
  <c r="B1377" i="19" s="1"/>
  <c r="C517" i="50"/>
  <c r="C1377" i="19" s="1"/>
  <c r="D517" i="50"/>
  <c r="D1377" i="19" s="1"/>
  <c r="F517" i="50"/>
  <c r="F1377" i="19" s="1"/>
  <c r="B518" i="50"/>
  <c r="B1378" i="19" s="1"/>
  <c r="C518" i="50"/>
  <c r="C1378" i="19" s="1"/>
  <c r="D518" i="50"/>
  <c r="D1378" i="19" s="1"/>
  <c r="B519" i="50"/>
  <c r="B1379" i="19" s="1"/>
  <c r="C519" i="50"/>
  <c r="C1379" i="19" s="1"/>
  <c r="D519" i="50"/>
  <c r="D1379" i="19" s="1"/>
  <c r="B520" i="50"/>
  <c r="B1380" i="19" s="1"/>
  <c r="C520" i="50"/>
  <c r="C1380" i="19" s="1"/>
  <c r="D520" i="50"/>
  <c r="D1380" i="19" s="1"/>
  <c r="F520" i="50"/>
  <c r="F1380" i="19" s="1"/>
  <c r="A518" i="50"/>
  <c r="A1378" i="19" s="1"/>
  <c r="A519" i="50"/>
  <c r="A1379" i="19" s="1"/>
  <c r="A520" i="50"/>
  <c r="A1380" i="19" s="1"/>
  <c r="A517" i="50"/>
  <c r="A1377" i="19" s="1"/>
  <c r="B511" i="50"/>
  <c r="B1371" i="19" s="1"/>
  <c r="C511" i="50"/>
  <c r="C1371" i="19" s="1"/>
  <c r="D511" i="50"/>
  <c r="D1371" i="19" s="1"/>
  <c r="F511" i="50"/>
  <c r="F1371" i="19" s="1"/>
  <c r="B512" i="50"/>
  <c r="B1372" i="19" s="1"/>
  <c r="C512" i="50"/>
  <c r="C1372" i="19" s="1"/>
  <c r="D512" i="50"/>
  <c r="D1372" i="19" s="1"/>
  <c r="F512" i="50"/>
  <c r="F1372" i="19" s="1"/>
  <c r="B513" i="50"/>
  <c r="B1373" i="19" s="1"/>
  <c r="C513" i="50"/>
  <c r="C1373" i="19" s="1"/>
  <c r="D513" i="50"/>
  <c r="D1373" i="19" s="1"/>
  <c r="F513" i="50"/>
  <c r="F1373" i="19" s="1"/>
  <c r="B514" i="50"/>
  <c r="B1374" i="19" s="1"/>
  <c r="C514" i="50"/>
  <c r="C1374" i="19" s="1"/>
  <c r="D514" i="50"/>
  <c r="D1374" i="19" s="1"/>
  <c r="B515" i="50"/>
  <c r="B1375" i="19" s="1"/>
  <c r="C515" i="50"/>
  <c r="C1375" i="19" s="1"/>
  <c r="D515" i="50"/>
  <c r="D1375" i="19" s="1"/>
  <c r="B516" i="50"/>
  <c r="B1376" i="19" s="1"/>
  <c r="C516" i="50"/>
  <c r="C1376" i="19" s="1"/>
  <c r="D516" i="50"/>
  <c r="D1376" i="19" s="1"/>
  <c r="F516" i="50"/>
  <c r="F1376" i="19" s="1"/>
  <c r="A512" i="50"/>
  <c r="A1372" i="19" s="1"/>
  <c r="A513" i="50"/>
  <c r="A1373" i="19" s="1"/>
  <c r="A514" i="50"/>
  <c r="A1374" i="19" s="1"/>
  <c r="A515" i="50"/>
  <c r="A1375" i="19" s="1"/>
  <c r="A516" i="50"/>
  <c r="A1376" i="19" s="1"/>
  <c r="A511" i="50"/>
  <c r="A1371" i="19" s="1"/>
  <c r="B505" i="50"/>
  <c r="B1365" i="19" s="1"/>
  <c r="C505" i="50"/>
  <c r="C1365" i="19" s="1"/>
  <c r="D505" i="50"/>
  <c r="D1365" i="19" s="1"/>
  <c r="F505" i="50"/>
  <c r="F1365" i="19" s="1"/>
  <c r="B506" i="50"/>
  <c r="B1366" i="19" s="1"/>
  <c r="C506" i="50"/>
  <c r="C1366" i="19" s="1"/>
  <c r="D506" i="50"/>
  <c r="D1366" i="19" s="1"/>
  <c r="F506" i="50"/>
  <c r="F1366" i="19" s="1"/>
  <c r="B507" i="50"/>
  <c r="B1367" i="19" s="1"/>
  <c r="C507" i="50"/>
  <c r="C1367" i="19" s="1"/>
  <c r="D507" i="50"/>
  <c r="D1367" i="19" s="1"/>
  <c r="F507" i="50"/>
  <c r="F1367" i="19" s="1"/>
  <c r="B508" i="50"/>
  <c r="B1368" i="19" s="1"/>
  <c r="C508" i="50"/>
  <c r="C1368" i="19" s="1"/>
  <c r="D508" i="50"/>
  <c r="D1368" i="19" s="1"/>
  <c r="B509" i="50"/>
  <c r="B1369" i="19" s="1"/>
  <c r="C509" i="50"/>
  <c r="C1369" i="19" s="1"/>
  <c r="D509" i="50"/>
  <c r="D1369" i="19" s="1"/>
  <c r="E509" i="50"/>
  <c r="E1369" i="19" s="1"/>
  <c r="F509" i="50"/>
  <c r="F1369" i="19" s="1"/>
  <c r="B510" i="50"/>
  <c r="B1370" i="19" s="1"/>
  <c r="C510" i="50"/>
  <c r="C1370" i="19" s="1"/>
  <c r="D510" i="50"/>
  <c r="D1370" i="19" s="1"/>
  <c r="A506" i="50"/>
  <c r="A1366" i="19" s="1"/>
  <c r="A507" i="50"/>
  <c r="A1367" i="19" s="1"/>
  <c r="A508" i="50"/>
  <c r="A1368" i="19" s="1"/>
  <c r="A509" i="50"/>
  <c r="A1369" i="19" s="1"/>
  <c r="A510" i="50"/>
  <c r="A1370" i="19" s="1"/>
  <c r="A505" i="50"/>
  <c r="A1365" i="19" s="1"/>
  <c r="C501" i="50"/>
  <c r="C1363" i="19" s="1"/>
  <c r="D501" i="50"/>
  <c r="D1363" i="19" s="1"/>
  <c r="F501" i="50"/>
  <c r="F1363" i="19" s="1"/>
  <c r="G501" i="50"/>
  <c r="G1363" i="19" s="1"/>
  <c r="H501" i="50"/>
  <c r="H1363" i="19" s="1"/>
  <c r="I501" i="50"/>
  <c r="I1363" i="19" s="1"/>
  <c r="J501" i="50"/>
  <c r="J1363" i="19" s="1"/>
  <c r="K501" i="50"/>
  <c r="K1363" i="19" s="1"/>
  <c r="L501" i="50"/>
  <c r="L1363" i="19" s="1"/>
  <c r="M501" i="50"/>
  <c r="M1363" i="19" s="1"/>
  <c r="C502" i="50"/>
  <c r="C1364" i="19" s="1"/>
  <c r="D502" i="50"/>
  <c r="D1364" i="19" s="1"/>
  <c r="E502" i="50"/>
  <c r="E1364" i="19" s="1"/>
  <c r="F502" i="50"/>
  <c r="F1364" i="19" s="1"/>
  <c r="B502" i="50"/>
  <c r="B1364" i="19" s="1"/>
  <c r="B501" i="50"/>
  <c r="B1363" i="19" s="1"/>
  <c r="C499" i="50"/>
  <c r="C1361" i="19" s="1"/>
  <c r="D499" i="50"/>
  <c r="D1361" i="19" s="1"/>
  <c r="F499" i="50"/>
  <c r="F1361" i="19" s="1"/>
  <c r="G499" i="50"/>
  <c r="G1361" i="19" s="1"/>
  <c r="H499" i="50"/>
  <c r="H1361" i="19" s="1"/>
  <c r="I499" i="50"/>
  <c r="I1361" i="19" s="1"/>
  <c r="J499" i="50"/>
  <c r="J1361" i="19" s="1"/>
  <c r="K499" i="50"/>
  <c r="K1361" i="19" s="1"/>
  <c r="L499" i="50"/>
  <c r="L1361" i="19" s="1"/>
  <c r="M499" i="50"/>
  <c r="M1361" i="19" s="1"/>
  <c r="C500" i="50"/>
  <c r="C1362" i="19" s="1"/>
  <c r="D500" i="50"/>
  <c r="D1362" i="19" s="1"/>
  <c r="E500" i="50"/>
  <c r="E1362" i="19" s="1"/>
  <c r="F500" i="50"/>
  <c r="F1362" i="19" s="1"/>
  <c r="B500" i="50"/>
  <c r="B1362" i="19" s="1"/>
  <c r="B499" i="50"/>
  <c r="B1361" i="19" s="1"/>
  <c r="C497" i="50"/>
  <c r="C1359" i="19" s="1"/>
  <c r="D497" i="50"/>
  <c r="D1359" i="19" s="1"/>
  <c r="F497" i="50"/>
  <c r="F1359" i="19" s="1"/>
  <c r="G497" i="50"/>
  <c r="G1359" i="19" s="1"/>
  <c r="H497" i="50"/>
  <c r="H1359" i="19" s="1"/>
  <c r="I497" i="50"/>
  <c r="I1359" i="19" s="1"/>
  <c r="J497" i="50"/>
  <c r="J1359" i="19" s="1"/>
  <c r="K497" i="50"/>
  <c r="K1359" i="19" s="1"/>
  <c r="L497" i="50"/>
  <c r="L1359" i="19" s="1"/>
  <c r="M497" i="50"/>
  <c r="M1359" i="19" s="1"/>
  <c r="C498" i="50"/>
  <c r="C1360" i="19" s="1"/>
  <c r="D498" i="50"/>
  <c r="D1360" i="19" s="1"/>
  <c r="E498" i="50"/>
  <c r="E1360" i="19" s="1"/>
  <c r="F498" i="50"/>
  <c r="F1360" i="19" s="1"/>
  <c r="B498" i="50"/>
  <c r="B1360" i="19" s="1"/>
  <c r="B497" i="50"/>
  <c r="B1359" i="19" s="1"/>
  <c r="C495" i="50"/>
  <c r="C1357" i="19" s="1"/>
  <c r="D495" i="50"/>
  <c r="D1357" i="19" s="1"/>
  <c r="F495" i="50"/>
  <c r="F1357" i="19" s="1"/>
  <c r="G495" i="50"/>
  <c r="G1357" i="19" s="1"/>
  <c r="H495" i="50"/>
  <c r="H1357" i="19" s="1"/>
  <c r="I495" i="50"/>
  <c r="I1357" i="19" s="1"/>
  <c r="J495" i="50"/>
  <c r="J1357" i="19" s="1"/>
  <c r="K495" i="50"/>
  <c r="K1357" i="19" s="1"/>
  <c r="L495" i="50"/>
  <c r="L1357" i="19" s="1"/>
  <c r="M495" i="50"/>
  <c r="M1357" i="19" s="1"/>
  <c r="C496" i="50"/>
  <c r="C1358" i="19" s="1"/>
  <c r="D496" i="50"/>
  <c r="D1358" i="19" s="1"/>
  <c r="E496" i="50"/>
  <c r="E1358" i="19" s="1"/>
  <c r="F496" i="50"/>
  <c r="F1358" i="19" s="1"/>
  <c r="B496" i="50"/>
  <c r="B1358" i="19" s="1"/>
  <c r="B495" i="50"/>
  <c r="B1357" i="19" s="1"/>
  <c r="F494" i="50"/>
  <c r="F1356" i="19" s="1"/>
  <c r="E494" i="50"/>
  <c r="E1356" i="19" s="1"/>
  <c r="D494" i="50"/>
  <c r="D1356" i="19" s="1"/>
  <c r="C494" i="50"/>
  <c r="C1356" i="19" s="1"/>
  <c r="M493" i="50"/>
  <c r="M1355" i="19" s="1"/>
  <c r="L493" i="50"/>
  <c r="L1355" i="19" s="1"/>
  <c r="K493" i="50"/>
  <c r="K1355" i="19" s="1"/>
  <c r="J493" i="50"/>
  <c r="J1355" i="19" s="1"/>
  <c r="I493" i="50"/>
  <c r="I1355" i="19" s="1"/>
  <c r="H493" i="50"/>
  <c r="H1355" i="19" s="1"/>
  <c r="G493" i="50"/>
  <c r="G1355" i="19" s="1"/>
  <c r="F493" i="50"/>
  <c r="F1355" i="19" s="1"/>
  <c r="D493" i="50"/>
  <c r="D1355" i="19" s="1"/>
  <c r="C493" i="50"/>
  <c r="C1355" i="19" s="1"/>
  <c r="B493" i="50"/>
  <c r="B1355" i="19" s="1"/>
  <c r="B494" i="50"/>
  <c r="B1356" i="19" s="1"/>
  <c r="C491" i="50"/>
  <c r="C1353" i="19" s="1"/>
  <c r="D491" i="50"/>
  <c r="D1353" i="19" s="1"/>
  <c r="F491" i="50"/>
  <c r="F1353" i="19" s="1"/>
  <c r="G491" i="50"/>
  <c r="G1353" i="19" s="1"/>
  <c r="H491" i="50"/>
  <c r="H1353" i="19" s="1"/>
  <c r="I491" i="50"/>
  <c r="I1353" i="19" s="1"/>
  <c r="J491" i="50"/>
  <c r="J1353" i="19" s="1"/>
  <c r="K491" i="50"/>
  <c r="K1353" i="19" s="1"/>
  <c r="L491" i="50"/>
  <c r="L1353" i="19" s="1"/>
  <c r="M491" i="50"/>
  <c r="M1353" i="19" s="1"/>
  <c r="C492" i="50"/>
  <c r="C1354" i="19" s="1"/>
  <c r="D492" i="50"/>
  <c r="D1354" i="19" s="1"/>
  <c r="E492" i="50"/>
  <c r="E1354" i="19" s="1"/>
  <c r="F492" i="50"/>
  <c r="F1354" i="19" s="1"/>
  <c r="B492" i="50"/>
  <c r="B1354" i="19" s="1"/>
  <c r="B491" i="50"/>
  <c r="B1353" i="19" s="1"/>
  <c r="C489" i="50"/>
  <c r="C1351" i="19" s="1"/>
  <c r="D489" i="50"/>
  <c r="D1351" i="19" s="1"/>
  <c r="F489" i="50"/>
  <c r="F1351" i="19" s="1"/>
  <c r="G489" i="50"/>
  <c r="G1351" i="19" s="1"/>
  <c r="H489" i="50"/>
  <c r="H1351" i="19" s="1"/>
  <c r="I489" i="50"/>
  <c r="I1351" i="19" s="1"/>
  <c r="J489" i="50"/>
  <c r="J1351" i="19" s="1"/>
  <c r="K489" i="50"/>
  <c r="K1351" i="19" s="1"/>
  <c r="L489" i="50"/>
  <c r="L1351" i="19" s="1"/>
  <c r="M489" i="50"/>
  <c r="M1351" i="19" s="1"/>
  <c r="C490" i="50"/>
  <c r="C1352" i="19" s="1"/>
  <c r="D490" i="50"/>
  <c r="D1352" i="19" s="1"/>
  <c r="E490" i="50"/>
  <c r="E1352" i="19" s="1"/>
  <c r="F490" i="50"/>
  <c r="F1352" i="19" s="1"/>
  <c r="B490" i="50"/>
  <c r="B1352" i="19" s="1"/>
  <c r="B489" i="50"/>
  <c r="B1351" i="19" s="1"/>
  <c r="C487" i="50"/>
  <c r="C1349" i="19" s="1"/>
  <c r="D487" i="50"/>
  <c r="D1349" i="19" s="1"/>
  <c r="F487" i="50"/>
  <c r="F1349" i="19" s="1"/>
  <c r="G487" i="50"/>
  <c r="G1349" i="19" s="1"/>
  <c r="H487" i="50"/>
  <c r="H1349" i="19" s="1"/>
  <c r="I487" i="50"/>
  <c r="I1349" i="19" s="1"/>
  <c r="J487" i="50"/>
  <c r="J1349" i="19" s="1"/>
  <c r="K487" i="50"/>
  <c r="K1349" i="19" s="1"/>
  <c r="L487" i="50"/>
  <c r="L1349" i="19" s="1"/>
  <c r="M487" i="50"/>
  <c r="M1349" i="19" s="1"/>
  <c r="C488" i="50"/>
  <c r="C1350" i="19" s="1"/>
  <c r="D488" i="50"/>
  <c r="D1350" i="19" s="1"/>
  <c r="E488" i="50"/>
  <c r="E1350" i="19" s="1"/>
  <c r="F488" i="50"/>
  <c r="F1350" i="19" s="1"/>
  <c r="B488" i="50"/>
  <c r="B1350" i="19" s="1"/>
  <c r="B487" i="50"/>
  <c r="B1349" i="19" s="1"/>
  <c r="C485" i="50"/>
  <c r="C1347" i="19" s="1"/>
  <c r="D485" i="50"/>
  <c r="D1347" i="19" s="1"/>
  <c r="F485" i="50"/>
  <c r="F1347" i="19" s="1"/>
  <c r="C486" i="50"/>
  <c r="C1348" i="19" s="1"/>
  <c r="D486" i="50"/>
  <c r="D1348" i="19" s="1"/>
  <c r="E486" i="50"/>
  <c r="E1348" i="19" s="1"/>
  <c r="F486" i="50"/>
  <c r="F1348" i="19" s="1"/>
  <c r="B486" i="50"/>
  <c r="B1348" i="19" s="1"/>
  <c r="B485" i="50"/>
  <c r="B1347" i="19" s="1"/>
  <c r="C483" i="50"/>
  <c r="C1345" i="19" s="1"/>
  <c r="D483" i="50"/>
  <c r="D1345" i="19" s="1"/>
  <c r="F483" i="50"/>
  <c r="F1345" i="19" s="1"/>
  <c r="C484" i="50"/>
  <c r="C1346" i="19" s="1"/>
  <c r="D484" i="50"/>
  <c r="D1346" i="19" s="1"/>
  <c r="E484" i="50"/>
  <c r="E1346" i="19" s="1"/>
  <c r="F484" i="50"/>
  <c r="F1346" i="19" s="1"/>
  <c r="B484" i="50"/>
  <c r="B1346" i="19" s="1"/>
  <c r="B483" i="50"/>
  <c r="B1345" i="19" s="1"/>
  <c r="L485" i="50"/>
  <c r="L1347" i="19" s="1"/>
  <c r="M485" i="50"/>
  <c r="M1347" i="19" s="1"/>
  <c r="G485" i="50"/>
  <c r="G1347" i="19" s="1"/>
  <c r="F510" i="50"/>
  <c r="F1370" i="19" s="1"/>
  <c r="G510" i="50"/>
  <c r="G1370" i="19" s="1"/>
  <c r="H510" i="50"/>
  <c r="H1370" i="19" s="1"/>
  <c r="I510" i="50"/>
  <c r="I1370" i="19" s="1"/>
  <c r="J510" i="50"/>
  <c r="J1370" i="19" s="1"/>
  <c r="K510" i="50"/>
  <c r="K1370" i="19" s="1"/>
  <c r="L510" i="50"/>
  <c r="L1370" i="19" s="1"/>
  <c r="M510" i="50"/>
  <c r="M1370" i="19" s="1"/>
  <c r="H505" i="50"/>
  <c r="H1365" i="19" s="1"/>
  <c r="I505" i="50"/>
  <c r="I1365" i="19" s="1"/>
  <c r="J505" i="50"/>
  <c r="J1365" i="19" s="1"/>
  <c r="K505" i="50"/>
  <c r="K1365" i="19" s="1"/>
  <c r="L505" i="50"/>
  <c r="L1365" i="19" s="1"/>
  <c r="M505" i="50"/>
  <c r="M1365" i="19" s="1"/>
  <c r="H506" i="50"/>
  <c r="H1366" i="19" s="1"/>
  <c r="I506" i="50"/>
  <c r="I1366" i="19" s="1"/>
  <c r="J506" i="50"/>
  <c r="J1366" i="19" s="1"/>
  <c r="K506" i="50"/>
  <c r="K1366" i="19" s="1"/>
  <c r="L506" i="50"/>
  <c r="L1366" i="19" s="1"/>
  <c r="M506" i="50"/>
  <c r="M1366" i="19" s="1"/>
  <c r="H507" i="50"/>
  <c r="H1367" i="19" s="1"/>
  <c r="I507" i="50"/>
  <c r="I1367" i="19" s="1"/>
  <c r="J507" i="50"/>
  <c r="J1367" i="19" s="1"/>
  <c r="K507" i="50"/>
  <c r="K1367" i="19" s="1"/>
  <c r="L507" i="50"/>
  <c r="L1367" i="19" s="1"/>
  <c r="M507" i="50"/>
  <c r="M1367" i="19" s="1"/>
  <c r="G506" i="50"/>
  <c r="G1366" i="19" s="1"/>
  <c r="G507" i="50"/>
  <c r="G1367" i="19" s="1"/>
  <c r="G505" i="50"/>
  <c r="G1365" i="19" s="1"/>
  <c r="H511" i="50"/>
  <c r="H1371" i="19" s="1"/>
  <c r="I511" i="50"/>
  <c r="I1371" i="19" s="1"/>
  <c r="J511" i="50"/>
  <c r="J1371" i="19" s="1"/>
  <c r="K511" i="50"/>
  <c r="K1371" i="19" s="1"/>
  <c r="L511" i="50"/>
  <c r="L1371" i="19" s="1"/>
  <c r="M511" i="50"/>
  <c r="M1371" i="19" s="1"/>
  <c r="H512" i="50"/>
  <c r="H1372" i="19" s="1"/>
  <c r="I512" i="50"/>
  <c r="I1372" i="19" s="1"/>
  <c r="J512" i="50"/>
  <c r="J1372" i="19" s="1"/>
  <c r="L512" i="50"/>
  <c r="L1372" i="19" s="1"/>
  <c r="M512" i="50"/>
  <c r="M1372" i="19" s="1"/>
  <c r="H513" i="50"/>
  <c r="H1373" i="19" s="1"/>
  <c r="I513" i="50"/>
  <c r="I1373" i="19" s="1"/>
  <c r="J513" i="50"/>
  <c r="J1373" i="19" s="1"/>
  <c r="K513" i="50"/>
  <c r="K1373" i="19" s="1"/>
  <c r="L513" i="50"/>
  <c r="L1373" i="19" s="1"/>
  <c r="M513" i="50"/>
  <c r="M1373" i="19" s="1"/>
  <c r="G512" i="50"/>
  <c r="G1372" i="19" s="1"/>
  <c r="G513" i="50"/>
  <c r="G1373" i="19" s="1"/>
  <c r="G511" i="50"/>
  <c r="G1371" i="19" s="1"/>
  <c r="E515" i="50"/>
  <c r="E1375" i="19" s="1"/>
  <c r="G516" i="50"/>
  <c r="G1376" i="19" s="1"/>
  <c r="H516" i="50"/>
  <c r="H1376" i="19" s="1"/>
  <c r="I516" i="50"/>
  <c r="I1376" i="19" s="1"/>
  <c r="J516" i="50"/>
  <c r="J1376" i="19" s="1"/>
  <c r="K516" i="50"/>
  <c r="K1376" i="19" s="1"/>
  <c r="L516" i="50"/>
  <c r="L1376" i="19" s="1"/>
  <c r="M516" i="50"/>
  <c r="M1376" i="19" s="1"/>
  <c r="H483" i="50"/>
  <c r="H1345" i="19" s="1"/>
  <c r="I483" i="50"/>
  <c r="I1345" i="19" s="1"/>
  <c r="J483" i="50"/>
  <c r="J1345" i="19" s="1"/>
  <c r="G483" i="50"/>
  <c r="G1345" i="19" s="1"/>
  <c r="G520" i="50"/>
  <c r="G1380" i="19" s="1"/>
  <c r="H520" i="50"/>
  <c r="H1380" i="19" s="1"/>
  <c r="I520" i="50"/>
  <c r="I1380" i="19" s="1"/>
  <c r="J520" i="50"/>
  <c r="J1380" i="19" s="1"/>
  <c r="K520" i="50"/>
  <c r="K1380" i="19" s="1"/>
  <c r="L520" i="50"/>
  <c r="L1380" i="19" s="1"/>
  <c r="M520" i="50"/>
  <c r="M1380" i="19" s="1"/>
  <c r="E519" i="50"/>
  <c r="E1379" i="19" s="1"/>
  <c r="E520" i="50"/>
  <c r="E1380" i="19" s="1"/>
  <c r="E516" i="50"/>
  <c r="E1376" i="19" s="1"/>
  <c r="E510" i="50"/>
  <c r="E1370" i="19" s="1"/>
  <c r="E89" i="56" l="1"/>
  <c r="E90" i="56"/>
  <c r="B9" i="55"/>
  <c r="K27" i="55" s="1"/>
  <c r="D14" i="55"/>
  <c r="E14" i="55" s="1"/>
  <c r="K29" i="55"/>
  <c r="E61" i="56"/>
  <c r="K28" i="55"/>
  <c r="B10" i="55"/>
  <c r="K32" i="55" s="1"/>
  <c r="K25" i="55"/>
  <c r="K512" i="50"/>
  <c r="K549" i="50"/>
  <c r="K1407" i="19" s="1"/>
  <c r="M549" i="50"/>
  <c r="M1407" i="19" s="1"/>
  <c r="L549" i="50"/>
  <c r="L1407" i="19" s="1"/>
  <c r="J549" i="50"/>
  <c r="J1407" i="19" s="1"/>
  <c r="I549" i="50"/>
  <c r="I1407" i="19" s="1"/>
  <c r="H549" i="50"/>
  <c r="H1407" i="19" s="1"/>
  <c r="G549" i="50"/>
  <c r="G1407" i="19" s="1"/>
  <c r="N1366" i="19"/>
  <c r="N1382" i="19"/>
  <c r="O1361" i="19"/>
  <c r="O1355" i="19"/>
  <c r="O1365" i="19"/>
  <c r="O1370" i="19"/>
  <c r="O1359" i="19"/>
  <c r="N1357" i="19"/>
  <c r="N1373" i="19"/>
  <c r="O1366" i="19"/>
  <c r="N1363" i="19"/>
  <c r="O1363" i="19"/>
  <c r="N1361" i="19"/>
  <c r="N1359" i="19"/>
  <c r="O1357" i="19"/>
  <c r="N1355" i="19"/>
  <c r="N1353" i="19"/>
  <c r="N1351" i="19"/>
  <c r="O1351" i="19"/>
  <c r="O1349" i="19"/>
  <c r="N1349" i="19"/>
  <c r="N1365" i="19"/>
  <c r="N1370" i="19"/>
  <c r="O1373" i="19"/>
  <c r="O1353" i="19"/>
  <c r="O1382" i="19"/>
  <c r="M517" i="50"/>
  <c r="M1377" i="19" s="1"/>
  <c r="L517" i="50"/>
  <c r="L1377" i="19" s="1"/>
  <c r="K517" i="50"/>
  <c r="K1377" i="19" s="1"/>
  <c r="J517" i="50"/>
  <c r="J1377" i="19" s="1"/>
  <c r="I517" i="50"/>
  <c r="I1377" i="19" s="1"/>
  <c r="H517" i="50"/>
  <c r="H1377" i="19" s="1"/>
  <c r="G517" i="50"/>
  <c r="G1377" i="19" s="1"/>
  <c r="M483" i="50"/>
  <c r="M1345" i="19" s="1"/>
  <c r="K485" i="50"/>
  <c r="K1347" i="19" s="1"/>
  <c r="L483" i="50"/>
  <c r="L1345" i="19" s="1"/>
  <c r="J485" i="50"/>
  <c r="J1347" i="19" s="1"/>
  <c r="K483" i="50"/>
  <c r="K1345" i="19" s="1"/>
  <c r="I485" i="50"/>
  <c r="I1347" i="19" s="1"/>
  <c r="H485" i="50"/>
  <c r="H1347" i="19" s="1"/>
  <c r="K1372" i="19" l="1"/>
  <c r="N1372" i="19" s="1"/>
  <c r="K30" i="55"/>
  <c r="O1372" i="19"/>
  <c r="O1407" i="19"/>
  <c r="K33" i="55"/>
  <c r="N1377" i="19"/>
  <c r="O1377" i="19"/>
  <c r="N1347" i="19"/>
  <c r="O1347" i="19"/>
  <c r="O1345" i="19"/>
  <c r="N1345" i="19"/>
  <c r="A1294" i="19"/>
  <c r="G25" i="53"/>
  <c r="G24" i="53"/>
  <c r="G1333" i="19" l="1"/>
  <c r="D230" i="36"/>
  <c r="D231" i="36"/>
  <c r="D232" i="36"/>
  <c r="D233" i="36"/>
  <c r="D234" i="36"/>
  <c r="D235" i="36"/>
  <c r="D236" i="36"/>
  <c r="D237" i="36"/>
  <c r="D238" i="36"/>
  <c r="N1317" i="19"/>
  <c r="O1317" i="19"/>
  <c r="N1324" i="19"/>
  <c r="O1324" i="19"/>
  <c r="N1336" i="19"/>
  <c r="O1336" i="19"/>
  <c r="N1341" i="19"/>
  <c r="O1341" i="19"/>
  <c r="B1322" i="19"/>
  <c r="C1322" i="19"/>
  <c r="D1322" i="19"/>
  <c r="F1322" i="19"/>
  <c r="G1322" i="19"/>
  <c r="H1322" i="19"/>
  <c r="I1322" i="19"/>
  <c r="J1322" i="19"/>
  <c r="K1322" i="19"/>
  <c r="L1322" i="19"/>
  <c r="M1322" i="19"/>
  <c r="B1323" i="19"/>
  <c r="C1323" i="19"/>
  <c r="D1323" i="19"/>
  <c r="F1323" i="19"/>
  <c r="G1323" i="19"/>
  <c r="H1323" i="19"/>
  <c r="I1323" i="19"/>
  <c r="J1323" i="19"/>
  <c r="K1323" i="19"/>
  <c r="L1323" i="19"/>
  <c r="M1323" i="19"/>
  <c r="B1324" i="19"/>
  <c r="C1324" i="19"/>
  <c r="D1324" i="19"/>
  <c r="E1324" i="19"/>
  <c r="F1324" i="19"/>
  <c r="G1324" i="19"/>
  <c r="B1325" i="19"/>
  <c r="C1325" i="19"/>
  <c r="D1325" i="19"/>
  <c r="E1325" i="19"/>
  <c r="F1325" i="19"/>
  <c r="G1325" i="19"/>
  <c r="H1325" i="19"/>
  <c r="I1325" i="19"/>
  <c r="J1325" i="19"/>
  <c r="K1325" i="19"/>
  <c r="L1325" i="19"/>
  <c r="M1325" i="19"/>
  <c r="B1326" i="19"/>
  <c r="C1326" i="19"/>
  <c r="D1326" i="19"/>
  <c r="F1326" i="19"/>
  <c r="G1326" i="19"/>
  <c r="H1326" i="19"/>
  <c r="I1326" i="19"/>
  <c r="J1326" i="19"/>
  <c r="K1326" i="19"/>
  <c r="L1326" i="19"/>
  <c r="M1326" i="19"/>
  <c r="B1327" i="19"/>
  <c r="C1327" i="19"/>
  <c r="D1327" i="19"/>
  <c r="E1327" i="19"/>
  <c r="F1327" i="19"/>
  <c r="G1327" i="19"/>
  <c r="H1327" i="19"/>
  <c r="I1327" i="19"/>
  <c r="J1327" i="19"/>
  <c r="K1327" i="19"/>
  <c r="L1327" i="19"/>
  <c r="M1327" i="19"/>
  <c r="B1328" i="19"/>
  <c r="C1328" i="19"/>
  <c r="D1328" i="19"/>
  <c r="F1328" i="19"/>
  <c r="G1328" i="19"/>
  <c r="H1328" i="19"/>
  <c r="I1328" i="19"/>
  <c r="J1328" i="19"/>
  <c r="K1328" i="19"/>
  <c r="L1328" i="19"/>
  <c r="M1328" i="19"/>
  <c r="B1329" i="19"/>
  <c r="C1329" i="19"/>
  <c r="D1329" i="19"/>
  <c r="F1329" i="19"/>
  <c r="G1329" i="19"/>
  <c r="H1329" i="19"/>
  <c r="I1329" i="19"/>
  <c r="J1329" i="19"/>
  <c r="K1329" i="19"/>
  <c r="L1329" i="19"/>
  <c r="M1329" i="19"/>
  <c r="B1330" i="19"/>
  <c r="C1330" i="19"/>
  <c r="D1330" i="19"/>
  <c r="E1330" i="19"/>
  <c r="F1330" i="19"/>
  <c r="G1330" i="19"/>
  <c r="B1331" i="19"/>
  <c r="C1331" i="19"/>
  <c r="D1331" i="19"/>
  <c r="E1331" i="19"/>
  <c r="F1331" i="19"/>
  <c r="G1331" i="19"/>
  <c r="H1331" i="19"/>
  <c r="I1331" i="19"/>
  <c r="J1331" i="19"/>
  <c r="K1331" i="19"/>
  <c r="L1331" i="19"/>
  <c r="M1331" i="19"/>
  <c r="B1332" i="19"/>
  <c r="C1332" i="19"/>
  <c r="D1332" i="19"/>
  <c r="F1332" i="19"/>
  <c r="G1332" i="19"/>
  <c r="H1332" i="19"/>
  <c r="I1332" i="19"/>
  <c r="J1332" i="19"/>
  <c r="K1332" i="19"/>
  <c r="L1332" i="19"/>
  <c r="M1332" i="19"/>
  <c r="B1333" i="19"/>
  <c r="C1333" i="19"/>
  <c r="D1333" i="19"/>
  <c r="E1333" i="19"/>
  <c r="F1333" i="19"/>
  <c r="H1333" i="19"/>
  <c r="I1333" i="19"/>
  <c r="J1333" i="19"/>
  <c r="K1333" i="19"/>
  <c r="L1333" i="19"/>
  <c r="M1333" i="19"/>
  <c r="B1334" i="19"/>
  <c r="C1334" i="19"/>
  <c r="D1334" i="19"/>
  <c r="F1334" i="19"/>
  <c r="G1334" i="19"/>
  <c r="H1334" i="19"/>
  <c r="I1334" i="19"/>
  <c r="J1334" i="19"/>
  <c r="K1334" i="19"/>
  <c r="L1334" i="19"/>
  <c r="M1334" i="19"/>
  <c r="B1335" i="19"/>
  <c r="C1335" i="19"/>
  <c r="D1335" i="19"/>
  <c r="F1335" i="19"/>
  <c r="G1335" i="19"/>
  <c r="H1335" i="19"/>
  <c r="I1335" i="19"/>
  <c r="J1335" i="19"/>
  <c r="K1335" i="19"/>
  <c r="L1335" i="19"/>
  <c r="M1335" i="19"/>
  <c r="B1336" i="19"/>
  <c r="C1336" i="19"/>
  <c r="D1336" i="19"/>
  <c r="E1336" i="19"/>
  <c r="F1336" i="19"/>
  <c r="G1336" i="19"/>
  <c r="B1337" i="19"/>
  <c r="C1337" i="19"/>
  <c r="D1337" i="19"/>
  <c r="E1337" i="19"/>
  <c r="F1337" i="19"/>
  <c r="G1337" i="19"/>
  <c r="H1337" i="19"/>
  <c r="I1337" i="19"/>
  <c r="J1337" i="19"/>
  <c r="K1337" i="19"/>
  <c r="L1337" i="19"/>
  <c r="M1337" i="19"/>
  <c r="B1338" i="19"/>
  <c r="C1338" i="19"/>
  <c r="D1338" i="19"/>
  <c r="F1338" i="19"/>
  <c r="G1338" i="19"/>
  <c r="H1338" i="19"/>
  <c r="I1338" i="19"/>
  <c r="J1338" i="19"/>
  <c r="K1338" i="19"/>
  <c r="L1338" i="19"/>
  <c r="M1338" i="19"/>
  <c r="B1339" i="19"/>
  <c r="C1339" i="19"/>
  <c r="D1339" i="19"/>
  <c r="E1339" i="19"/>
  <c r="F1339" i="19"/>
  <c r="G1339" i="19"/>
  <c r="H1339" i="19"/>
  <c r="I1339" i="19"/>
  <c r="J1339" i="19"/>
  <c r="K1339" i="19"/>
  <c r="L1339" i="19"/>
  <c r="M1339" i="19"/>
  <c r="B1340" i="19"/>
  <c r="C1340" i="19"/>
  <c r="D1340" i="19"/>
  <c r="E1340" i="19"/>
  <c r="F1340" i="19"/>
  <c r="G1340" i="19"/>
  <c r="H1340" i="19"/>
  <c r="I1340" i="19"/>
  <c r="J1340" i="19"/>
  <c r="K1340" i="19"/>
  <c r="L1340" i="19"/>
  <c r="M1340" i="19"/>
  <c r="B1341" i="19"/>
  <c r="C1341" i="19"/>
  <c r="D1341" i="19"/>
  <c r="E1341" i="19"/>
  <c r="F1341" i="19"/>
  <c r="B1342" i="19"/>
  <c r="C1342" i="19"/>
  <c r="D1342" i="19"/>
  <c r="E1342" i="19"/>
  <c r="F1342" i="19"/>
  <c r="G1342" i="19"/>
  <c r="H1342" i="19"/>
  <c r="I1342" i="19"/>
  <c r="J1342" i="19"/>
  <c r="K1342" i="19"/>
  <c r="L1342" i="19"/>
  <c r="M1342" i="19"/>
  <c r="B1343" i="19"/>
  <c r="C1343" i="19"/>
  <c r="D1343" i="19"/>
  <c r="E1343" i="19"/>
  <c r="F1343" i="19"/>
  <c r="G1343" i="19"/>
  <c r="H1343" i="19"/>
  <c r="I1343" i="19"/>
  <c r="J1343" i="19"/>
  <c r="K1343" i="19"/>
  <c r="L1343" i="19"/>
  <c r="M1343" i="19"/>
  <c r="B1344" i="19"/>
  <c r="C1344" i="19"/>
  <c r="D1344" i="19"/>
  <c r="E1344" i="19"/>
  <c r="F1344" i="19"/>
  <c r="G1344" i="19"/>
  <c r="H1344" i="19"/>
  <c r="I1344" i="19"/>
  <c r="J1344" i="19"/>
  <c r="K1344" i="19"/>
  <c r="L1344" i="19"/>
  <c r="M1344"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22" i="19"/>
  <c r="B1319" i="19"/>
  <c r="C1319" i="19"/>
  <c r="D1319" i="19"/>
  <c r="F1319" i="19"/>
  <c r="G1319" i="19"/>
  <c r="H1319" i="19"/>
  <c r="I1319" i="19"/>
  <c r="J1319" i="19"/>
  <c r="K1319" i="19"/>
  <c r="L1319" i="19"/>
  <c r="M1319" i="19"/>
  <c r="B1320" i="19"/>
  <c r="C1320" i="19"/>
  <c r="D1320" i="19"/>
  <c r="F1320" i="19"/>
  <c r="G1320" i="19"/>
  <c r="H1320" i="19"/>
  <c r="I1320" i="19"/>
  <c r="J1320" i="19"/>
  <c r="K1320" i="19"/>
  <c r="L1320" i="19"/>
  <c r="M1320" i="19"/>
  <c r="B1321" i="19"/>
  <c r="C1321" i="19"/>
  <c r="D1321" i="19"/>
  <c r="E1321" i="19"/>
  <c r="F1321" i="19"/>
  <c r="G1321" i="19"/>
  <c r="H1321" i="19"/>
  <c r="I1321" i="19"/>
  <c r="J1321" i="19"/>
  <c r="K1321" i="19"/>
  <c r="L1321" i="19"/>
  <c r="M1321" i="19"/>
  <c r="A1320" i="19"/>
  <c r="A1321" i="19"/>
  <c r="A1319" i="19"/>
  <c r="B182" i="26"/>
  <c r="B174" i="26"/>
  <c r="E218" i="26"/>
  <c r="B12" i="53"/>
  <c r="C11" i="53" s="1"/>
  <c r="C26" i="53"/>
  <c r="B26" i="53"/>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258" i="50"/>
  <c r="B259" i="50"/>
  <c r="B260" i="50"/>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302" i="19"/>
  <c r="N1302" i="19"/>
  <c r="O1298" i="19"/>
  <c r="N1298" i="19"/>
  <c r="N1297" i="19"/>
  <c r="O1297" i="19"/>
  <c r="H1299" i="19"/>
  <c r="I1299" i="19"/>
  <c r="J1299" i="19"/>
  <c r="K1299" i="19"/>
  <c r="L1299" i="19"/>
  <c r="M1299" i="19"/>
  <c r="H1300" i="19"/>
  <c r="I1300" i="19"/>
  <c r="J1300" i="19"/>
  <c r="K1300" i="19"/>
  <c r="L1300" i="19"/>
  <c r="M1300" i="19"/>
  <c r="H1301" i="19"/>
  <c r="I1301" i="19"/>
  <c r="J1301" i="19"/>
  <c r="K1301" i="19"/>
  <c r="L1301" i="19"/>
  <c r="M1301" i="19"/>
  <c r="B1301" i="19"/>
  <c r="C1301" i="19"/>
  <c r="D1301" i="19"/>
  <c r="F1301" i="19"/>
  <c r="G1301" i="19"/>
  <c r="B1302" i="19"/>
  <c r="C1302" i="19"/>
  <c r="D1302" i="19"/>
  <c r="E1302" i="19"/>
  <c r="F1302" i="19"/>
  <c r="G1302" i="19"/>
  <c r="A1302" i="19"/>
  <c r="A1301" i="19"/>
  <c r="B1298" i="19"/>
  <c r="C1298" i="19"/>
  <c r="D1298" i="19"/>
  <c r="E1298" i="19"/>
  <c r="F1298" i="19"/>
  <c r="G1298" i="19"/>
  <c r="B1299" i="19"/>
  <c r="C1299" i="19"/>
  <c r="D1299" i="19"/>
  <c r="E1299" i="19"/>
  <c r="F1299" i="19"/>
  <c r="G1299" i="19"/>
  <c r="B1300" i="19"/>
  <c r="C1300" i="19"/>
  <c r="D1300" i="19"/>
  <c r="E1300" i="19"/>
  <c r="F1300" i="19"/>
  <c r="G1300" i="19"/>
  <c r="A1299" i="19"/>
  <c r="A1300" i="19"/>
  <c r="A1298" i="19"/>
  <c r="E613" i="50"/>
  <c r="E1301" i="19" s="1"/>
  <c r="N1313" i="19"/>
  <c r="O1313" i="19"/>
  <c r="O1289" i="19"/>
  <c r="O1291" i="19"/>
  <c r="O1293" i="19"/>
  <c r="O1295" i="19"/>
  <c r="H1315" i="19"/>
  <c r="I1315" i="19"/>
  <c r="J1315" i="19"/>
  <c r="K1315" i="19"/>
  <c r="L1315" i="19"/>
  <c r="M1315" i="19"/>
  <c r="H1316" i="19"/>
  <c r="I1316" i="19"/>
  <c r="J1316" i="19"/>
  <c r="K1316" i="19"/>
  <c r="L1316" i="19"/>
  <c r="M1316" i="19"/>
  <c r="I1269" i="19"/>
  <c r="J1269" i="19"/>
  <c r="K1269" i="19"/>
  <c r="L1269" i="19"/>
  <c r="M1269" i="19"/>
  <c r="H1269" i="19"/>
  <c r="G1290" i="19"/>
  <c r="C550" i="50"/>
  <c r="C1408" i="19" s="1"/>
  <c r="D550" i="50"/>
  <c r="D1408" i="19" s="1"/>
  <c r="F550" i="50"/>
  <c r="F1408" i="19" s="1"/>
  <c r="C551" i="50"/>
  <c r="C1409" i="19" s="1"/>
  <c r="D551" i="50"/>
  <c r="D1409" i="19" s="1"/>
  <c r="E551" i="50"/>
  <c r="E1409" i="19" s="1"/>
  <c r="F551" i="50"/>
  <c r="F1409" i="19" s="1"/>
  <c r="C552" i="50"/>
  <c r="C1410" i="19" s="1"/>
  <c r="D552" i="50"/>
  <c r="D1410" i="19" s="1"/>
  <c r="F552" i="50"/>
  <c r="F1410" i="19" s="1"/>
  <c r="C553" i="50"/>
  <c r="C1411" i="19" s="1"/>
  <c r="F553" i="50"/>
  <c r="F1411" i="19" s="1"/>
  <c r="C554" i="50"/>
  <c r="C1412" i="19" s="1"/>
  <c r="F554" i="50"/>
  <c r="F1412" i="19" s="1"/>
  <c r="C555" i="50"/>
  <c r="C1413" i="19" s="1"/>
  <c r="F555" i="50"/>
  <c r="F1413" i="19" s="1"/>
  <c r="C556" i="50"/>
  <c r="C1414" i="19" s="1"/>
  <c r="F556" i="50"/>
  <c r="F1414" i="19" s="1"/>
  <c r="C557" i="50"/>
  <c r="C1415" i="19" s="1"/>
  <c r="F557" i="50"/>
  <c r="F1415" i="19" s="1"/>
  <c r="C558" i="50"/>
  <c r="C1416" i="19" s="1"/>
  <c r="F558" i="50"/>
  <c r="F1416" i="19" s="1"/>
  <c r="C559" i="50"/>
  <c r="C1417" i="19" s="1"/>
  <c r="F559" i="50"/>
  <c r="F1417" i="19" s="1"/>
  <c r="C560" i="50"/>
  <c r="C1418" i="19" s="1"/>
  <c r="F560" i="50"/>
  <c r="F1418" i="19" s="1"/>
  <c r="C561" i="50"/>
  <c r="C1419" i="19" s="1"/>
  <c r="F561" i="50"/>
  <c r="F1419" i="19" s="1"/>
  <c r="C562" i="50"/>
  <c r="C1420" i="19" s="1"/>
  <c r="F562" i="50"/>
  <c r="F1420" i="19" s="1"/>
  <c r="B551" i="50"/>
  <c r="B1409" i="19" s="1"/>
  <c r="B552" i="50"/>
  <c r="B1410" i="19" s="1"/>
  <c r="B553" i="50"/>
  <c r="B1411" i="19" s="1"/>
  <c r="B554" i="50"/>
  <c r="B1412" i="19" s="1"/>
  <c r="B555" i="50"/>
  <c r="B1413" i="19" s="1"/>
  <c r="B556" i="50"/>
  <c r="B1414" i="19" s="1"/>
  <c r="B557" i="50"/>
  <c r="B1415" i="19" s="1"/>
  <c r="B558" i="50"/>
  <c r="B1416" i="19" s="1"/>
  <c r="B559" i="50"/>
  <c r="B1417" i="19" s="1"/>
  <c r="B560" i="50"/>
  <c r="B1418" i="19" s="1"/>
  <c r="B561" i="50"/>
  <c r="B1419" i="19" s="1"/>
  <c r="B562" i="50"/>
  <c r="B1420" i="19" s="1"/>
  <c r="B550" i="50"/>
  <c r="B1408" i="19" s="1"/>
  <c r="C536" i="50"/>
  <c r="C1394" i="19" s="1"/>
  <c r="D536" i="50"/>
  <c r="D1394" i="19" s="1"/>
  <c r="F536" i="50"/>
  <c r="F1394" i="19" s="1"/>
  <c r="C537" i="50"/>
  <c r="C1395" i="19" s="1"/>
  <c r="D537" i="50"/>
  <c r="D1395" i="19" s="1"/>
  <c r="E537" i="50"/>
  <c r="E1395" i="19" s="1"/>
  <c r="F537" i="50"/>
  <c r="F1395" i="19" s="1"/>
  <c r="C538" i="50"/>
  <c r="C1396" i="19" s="1"/>
  <c r="D538" i="50"/>
  <c r="D1396" i="19" s="1"/>
  <c r="F538" i="50"/>
  <c r="F1396" i="19" s="1"/>
  <c r="C539" i="50"/>
  <c r="C1397" i="19" s="1"/>
  <c r="F539" i="50"/>
  <c r="F1397" i="19" s="1"/>
  <c r="C540" i="50"/>
  <c r="C1398" i="19" s="1"/>
  <c r="F540" i="50"/>
  <c r="F1398" i="19" s="1"/>
  <c r="C541" i="50"/>
  <c r="C1399" i="19" s="1"/>
  <c r="F541" i="50"/>
  <c r="F1399" i="19" s="1"/>
  <c r="C542" i="50"/>
  <c r="C1400" i="19" s="1"/>
  <c r="F542" i="50"/>
  <c r="F1400" i="19" s="1"/>
  <c r="C543" i="50"/>
  <c r="C1401" i="19" s="1"/>
  <c r="F543" i="50"/>
  <c r="F1401" i="19" s="1"/>
  <c r="C544" i="50"/>
  <c r="C1402" i="19" s="1"/>
  <c r="F544" i="50"/>
  <c r="F1402" i="19" s="1"/>
  <c r="C545" i="50"/>
  <c r="C1403" i="19" s="1"/>
  <c r="F545" i="50"/>
  <c r="F1403" i="19" s="1"/>
  <c r="C546" i="50"/>
  <c r="C1404" i="19" s="1"/>
  <c r="F546" i="50"/>
  <c r="F1404" i="19" s="1"/>
  <c r="C547" i="50"/>
  <c r="C1405" i="19" s="1"/>
  <c r="F547" i="50"/>
  <c r="F1405" i="19" s="1"/>
  <c r="C548" i="50"/>
  <c r="C1406" i="19" s="1"/>
  <c r="F548" i="50"/>
  <c r="F1406" i="19" s="1"/>
  <c r="B541" i="50"/>
  <c r="B1399" i="19" s="1"/>
  <c r="B542" i="50"/>
  <c r="B1400" i="19" s="1"/>
  <c r="B543" i="50"/>
  <c r="B1401" i="19" s="1"/>
  <c r="B544" i="50"/>
  <c r="B1402" i="19" s="1"/>
  <c r="B545" i="50"/>
  <c r="B1403" i="19" s="1"/>
  <c r="B546" i="50"/>
  <c r="B1404" i="19" s="1"/>
  <c r="B547" i="50"/>
  <c r="B1405" i="19" s="1"/>
  <c r="B548" i="50"/>
  <c r="B1406" i="19" s="1"/>
  <c r="B537" i="50"/>
  <c r="B1395" i="19" s="1"/>
  <c r="B538" i="50"/>
  <c r="B1396" i="19" s="1"/>
  <c r="B539" i="50"/>
  <c r="B1397" i="19" s="1"/>
  <c r="B540" i="50"/>
  <c r="B1398" i="19" s="1"/>
  <c r="B536" i="50"/>
  <c r="B1394" i="19" s="1"/>
  <c r="F524" i="50"/>
  <c r="F1382" i="19" s="1"/>
  <c r="F525" i="50"/>
  <c r="F1383" i="19" s="1"/>
  <c r="F526" i="50"/>
  <c r="F1384" i="19" s="1"/>
  <c r="F527" i="50"/>
  <c r="F1385" i="19" s="1"/>
  <c r="F528" i="50"/>
  <c r="F1386" i="19" s="1"/>
  <c r="F529" i="50"/>
  <c r="F1387" i="19" s="1"/>
  <c r="F530" i="50"/>
  <c r="F1388" i="19" s="1"/>
  <c r="F531" i="50"/>
  <c r="F1389" i="19" s="1"/>
  <c r="F532" i="50"/>
  <c r="F1390" i="19" s="1"/>
  <c r="F533" i="50"/>
  <c r="F1391" i="19" s="1"/>
  <c r="F534" i="50"/>
  <c r="F1392" i="19" s="1"/>
  <c r="F535" i="50"/>
  <c r="F1393" i="19" s="1"/>
  <c r="F523" i="50"/>
  <c r="F1381" i="19" s="1"/>
  <c r="E524" i="50"/>
  <c r="E1382" i="19" s="1"/>
  <c r="D524" i="50"/>
  <c r="D1382" i="19" s="1"/>
  <c r="D525" i="50"/>
  <c r="D1383" i="19" s="1"/>
  <c r="D523" i="50"/>
  <c r="D1381" i="19" s="1"/>
  <c r="C524" i="50"/>
  <c r="C1382" i="19" s="1"/>
  <c r="C525" i="50"/>
  <c r="C1383" i="19" s="1"/>
  <c r="C526" i="50"/>
  <c r="C1384" i="19" s="1"/>
  <c r="C527" i="50"/>
  <c r="C1385" i="19" s="1"/>
  <c r="C528" i="50"/>
  <c r="C1386" i="19" s="1"/>
  <c r="C529" i="50"/>
  <c r="C1387" i="19" s="1"/>
  <c r="C530" i="50"/>
  <c r="C1388" i="19" s="1"/>
  <c r="C531" i="50"/>
  <c r="C1389" i="19" s="1"/>
  <c r="C532" i="50"/>
  <c r="C1390" i="19" s="1"/>
  <c r="C533" i="50"/>
  <c r="C1391" i="19" s="1"/>
  <c r="C534" i="50"/>
  <c r="C1392" i="19" s="1"/>
  <c r="C535" i="50"/>
  <c r="C1393" i="19" s="1"/>
  <c r="C523" i="50"/>
  <c r="C1381" i="19" s="1"/>
  <c r="B524" i="50"/>
  <c r="B1382" i="19" s="1"/>
  <c r="B525" i="50"/>
  <c r="B1383" i="19" s="1"/>
  <c r="B526" i="50"/>
  <c r="B1384" i="19" s="1"/>
  <c r="B527" i="50"/>
  <c r="B1385" i="19" s="1"/>
  <c r="B528" i="50"/>
  <c r="B1386" i="19" s="1"/>
  <c r="B529" i="50"/>
  <c r="B1387" i="19" s="1"/>
  <c r="B530" i="50"/>
  <c r="B1388" i="19" s="1"/>
  <c r="B531" i="50"/>
  <c r="B1389" i="19" s="1"/>
  <c r="B532" i="50"/>
  <c r="B1390" i="19" s="1"/>
  <c r="B533" i="50"/>
  <c r="B1391" i="19" s="1"/>
  <c r="B534" i="50"/>
  <c r="B1392" i="19" s="1"/>
  <c r="B535" i="50"/>
  <c r="B1393" i="19" s="1"/>
  <c r="B523" i="50"/>
  <c r="B1381" i="19" s="1"/>
  <c r="I526" i="50"/>
  <c r="I1384" i="19" s="1"/>
  <c r="J526" i="50"/>
  <c r="J1384" i="19" s="1"/>
  <c r="K526" i="50"/>
  <c r="K1384" i="19" s="1"/>
  <c r="L526" i="50"/>
  <c r="L1384" i="19" s="1"/>
  <c r="M526" i="50"/>
  <c r="M1384" i="19" s="1"/>
  <c r="I527" i="50"/>
  <c r="I1385" i="19" s="1"/>
  <c r="J527" i="50"/>
  <c r="J1385" i="19" s="1"/>
  <c r="K527" i="50"/>
  <c r="K1385" i="19" s="1"/>
  <c r="L527" i="50"/>
  <c r="L1385" i="19" s="1"/>
  <c r="M527" i="50"/>
  <c r="M1385" i="19" s="1"/>
  <c r="I528" i="50"/>
  <c r="I1386" i="19" s="1"/>
  <c r="J541" i="50"/>
  <c r="J1399" i="19" s="1"/>
  <c r="K541" i="50"/>
  <c r="K1399" i="19" s="1"/>
  <c r="L541" i="50"/>
  <c r="L1399" i="19" s="1"/>
  <c r="M528" i="50"/>
  <c r="M1386" i="19" s="1"/>
  <c r="I529" i="50"/>
  <c r="I1387" i="19" s="1"/>
  <c r="J529" i="50"/>
  <c r="J1387" i="19" s="1"/>
  <c r="K529" i="50"/>
  <c r="K1387" i="19" s="1"/>
  <c r="L529" i="50"/>
  <c r="L1387" i="19" s="1"/>
  <c r="M529" i="50"/>
  <c r="M1387" i="19" s="1"/>
  <c r="I543" i="50"/>
  <c r="I1401" i="19" s="1"/>
  <c r="J530" i="50"/>
  <c r="J1388" i="19" s="1"/>
  <c r="K543" i="50"/>
  <c r="K1401" i="19" s="1"/>
  <c r="L543" i="50"/>
  <c r="L1401" i="19" s="1"/>
  <c r="M530" i="50"/>
  <c r="M1388" i="19" s="1"/>
  <c r="I531" i="50"/>
  <c r="I1389" i="19" s="1"/>
  <c r="J531" i="50"/>
  <c r="J1389" i="19" s="1"/>
  <c r="K531" i="50"/>
  <c r="K1389" i="19" s="1"/>
  <c r="L531" i="50"/>
  <c r="L1389" i="19" s="1"/>
  <c r="M531" i="50"/>
  <c r="M1389" i="19" s="1"/>
  <c r="I532" i="50"/>
  <c r="I1390" i="19" s="1"/>
  <c r="J545" i="50"/>
  <c r="J1403" i="19" s="1"/>
  <c r="K532" i="50"/>
  <c r="K1390" i="19" s="1"/>
  <c r="L532" i="50"/>
  <c r="L1390" i="19" s="1"/>
  <c r="M532" i="50"/>
  <c r="M1390" i="19" s="1"/>
  <c r="I533" i="50"/>
  <c r="I1391" i="19" s="1"/>
  <c r="J533" i="50"/>
  <c r="J1391" i="19" s="1"/>
  <c r="K533" i="50"/>
  <c r="K1391" i="19" s="1"/>
  <c r="L533" i="50"/>
  <c r="L1391" i="19" s="1"/>
  <c r="M533" i="50"/>
  <c r="M1391" i="19" s="1"/>
  <c r="H527" i="50"/>
  <c r="H1385" i="19" s="1"/>
  <c r="H528" i="50"/>
  <c r="H1386" i="19" s="1"/>
  <c r="H529" i="50"/>
  <c r="H1387" i="19" s="1"/>
  <c r="H543" i="50"/>
  <c r="H1401" i="19" s="1"/>
  <c r="H531" i="50"/>
  <c r="H1389" i="19" s="1"/>
  <c r="H532" i="50"/>
  <c r="H1390" i="19" s="1"/>
  <c r="H533" i="50"/>
  <c r="H1391" i="19" s="1"/>
  <c r="H526" i="50"/>
  <c r="H1384" i="19" s="1"/>
  <c r="M535" i="50"/>
  <c r="M1393" i="19" s="1"/>
  <c r="I535" i="50"/>
  <c r="I1393" i="19" s="1"/>
  <c r="J535" i="50"/>
  <c r="J1393" i="19" s="1"/>
  <c r="K535" i="50"/>
  <c r="K1393" i="19" s="1"/>
  <c r="L535" i="50"/>
  <c r="L1393" i="19" s="1"/>
  <c r="H535" i="50"/>
  <c r="H1393" i="19" s="1"/>
  <c r="G540" i="50"/>
  <c r="G1398" i="19" s="1"/>
  <c r="G528" i="50"/>
  <c r="G1386" i="19" s="1"/>
  <c r="G529" i="50"/>
  <c r="G1387" i="19" s="1"/>
  <c r="G530" i="50"/>
  <c r="G1388" i="19" s="1"/>
  <c r="G531" i="50"/>
  <c r="G1389" i="19" s="1"/>
  <c r="G545" i="50"/>
  <c r="G1403" i="19" s="1"/>
  <c r="G533" i="50"/>
  <c r="G1391" i="19" s="1"/>
  <c r="G526" i="50"/>
  <c r="G1384" i="19" s="1"/>
  <c r="D535" i="50"/>
  <c r="D1393" i="19" s="1"/>
  <c r="D534" i="50"/>
  <c r="D1392" i="19" s="1"/>
  <c r="D527" i="50"/>
  <c r="D1385" i="19" s="1"/>
  <c r="D528" i="50"/>
  <c r="D1386" i="19" s="1"/>
  <c r="D529" i="50"/>
  <c r="D1387" i="19" s="1"/>
  <c r="D543" i="50"/>
  <c r="D1401" i="19" s="1"/>
  <c r="D531" i="50"/>
  <c r="D1389" i="19" s="1"/>
  <c r="D532" i="50"/>
  <c r="D1390" i="19" s="1"/>
  <c r="D533" i="50"/>
  <c r="D1391" i="19" s="1"/>
  <c r="D526" i="50"/>
  <c r="D1384" i="19" s="1"/>
  <c r="G535" i="50"/>
  <c r="G1393" i="19" s="1"/>
  <c r="G534" i="50"/>
  <c r="G1392" i="19" s="1"/>
  <c r="E535" i="50"/>
  <c r="E1393" i="19" s="1"/>
  <c r="E547" i="50"/>
  <c r="E1405" i="19" s="1"/>
  <c r="D229" i="36"/>
  <c r="B1313" i="19"/>
  <c r="C1313" i="19"/>
  <c r="D1313" i="19"/>
  <c r="E1313" i="19"/>
  <c r="F1313" i="19"/>
  <c r="G1313" i="19"/>
  <c r="B1314" i="19"/>
  <c r="C1314" i="19"/>
  <c r="D1314" i="19"/>
  <c r="E1314" i="19"/>
  <c r="F1314" i="19"/>
  <c r="B1315" i="19"/>
  <c r="C1315" i="19"/>
  <c r="D1315" i="19"/>
  <c r="F1315" i="19"/>
  <c r="G1315" i="19"/>
  <c r="B1316" i="19"/>
  <c r="C1316" i="19"/>
  <c r="D1316" i="19"/>
  <c r="F1316" i="19"/>
  <c r="G1316" i="19"/>
  <c r="B1317" i="19"/>
  <c r="C1317" i="19"/>
  <c r="D1317" i="19"/>
  <c r="E1317" i="19"/>
  <c r="F1317" i="19"/>
  <c r="G1317" i="19"/>
  <c r="B1318" i="19"/>
  <c r="C1318" i="19"/>
  <c r="D1318" i="19"/>
  <c r="E1318" i="19"/>
  <c r="F1318" i="19"/>
  <c r="G1318" i="19"/>
  <c r="A1313" i="19"/>
  <c r="A1314" i="19"/>
  <c r="A1315" i="19"/>
  <c r="A1316" i="19"/>
  <c r="A1317" i="19"/>
  <c r="A1318" i="19"/>
  <c r="N1391" i="19" l="1"/>
  <c r="N1384" i="19"/>
  <c r="O1391" i="19"/>
  <c r="N1387" i="19"/>
  <c r="O1387" i="19"/>
  <c r="O1393" i="19"/>
  <c r="O1384" i="19"/>
  <c r="N1321" i="19"/>
  <c r="N1329" i="19"/>
  <c r="O1327" i="19"/>
  <c r="O1320" i="19"/>
  <c r="B64" i="52"/>
  <c r="B63" i="52"/>
  <c r="B62" i="52"/>
  <c r="B65" i="52"/>
  <c r="M508" i="50"/>
  <c r="M1368" i="19" s="1"/>
  <c r="M518" i="50"/>
  <c r="M1378" i="19" s="1"/>
  <c r="M514" i="50"/>
  <c r="M1374" i="19" s="1"/>
  <c r="L508" i="50"/>
  <c r="L1368" i="19" s="1"/>
  <c r="L518" i="50"/>
  <c r="L1378" i="19" s="1"/>
  <c r="L514" i="50"/>
  <c r="L1374" i="19" s="1"/>
  <c r="K508" i="50"/>
  <c r="K1368" i="19" s="1"/>
  <c r="K518" i="50"/>
  <c r="K1378" i="19" s="1"/>
  <c r="K514" i="50"/>
  <c r="K1374" i="19" s="1"/>
  <c r="J508" i="50"/>
  <c r="J1368" i="19" s="1"/>
  <c r="J518" i="50"/>
  <c r="J1378" i="19" s="1"/>
  <c r="J514" i="50"/>
  <c r="J1374" i="19" s="1"/>
  <c r="I508" i="50"/>
  <c r="I1368" i="19" s="1"/>
  <c r="I518" i="50"/>
  <c r="I1378" i="19" s="1"/>
  <c r="I514" i="50"/>
  <c r="I1374" i="19" s="1"/>
  <c r="H508" i="50"/>
  <c r="H1368" i="19" s="1"/>
  <c r="H518" i="50"/>
  <c r="H1378" i="19" s="1"/>
  <c r="H514" i="50"/>
  <c r="H1374" i="19" s="1"/>
  <c r="G518" i="50"/>
  <c r="G1378" i="19" s="1"/>
  <c r="G514" i="50"/>
  <c r="G1374" i="19" s="1"/>
  <c r="G508" i="50"/>
  <c r="G1368" i="19" s="1"/>
  <c r="F518" i="50"/>
  <c r="F1378" i="19" s="1"/>
  <c r="F514" i="50"/>
  <c r="F1374" i="19" s="1"/>
  <c r="F508" i="50"/>
  <c r="F1368" i="19" s="1"/>
  <c r="O1321" i="19"/>
  <c r="O1343" i="19"/>
  <c r="N1333" i="19"/>
  <c r="N1332" i="19"/>
  <c r="N1325" i="19"/>
  <c r="O1344" i="19"/>
  <c r="O1328" i="19"/>
  <c r="O1319" i="19"/>
  <c r="O1325" i="19"/>
  <c r="N1327" i="19"/>
  <c r="N1343" i="19"/>
  <c r="O1329" i="19"/>
  <c r="N1328" i="19"/>
  <c r="N1323" i="19"/>
  <c r="N1319" i="19"/>
  <c r="N1320" i="19"/>
  <c r="O1337" i="19"/>
  <c r="O1340" i="19"/>
  <c r="O1339" i="19"/>
  <c r="N1337" i="19"/>
  <c r="N1331" i="19"/>
  <c r="N1340" i="19"/>
  <c r="N1339" i="19"/>
  <c r="N1335" i="19"/>
  <c r="N1344" i="19"/>
  <c r="O1335" i="19"/>
  <c r="O1333" i="19"/>
  <c r="O1332" i="19"/>
  <c r="O1331" i="19"/>
  <c r="O1323" i="19"/>
  <c r="C10" i="53"/>
  <c r="D26" i="53"/>
  <c r="E45" i="53" s="1"/>
  <c r="E1338" i="19" s="1"/>
  <c r="O1299" i="19"/>
  <c r="N1301" i="19"/>
  <c r="N1299" i="19"/>
  <c r="O1300" i="19"/>
  <c r="N1300" i="19"/>
  <c r="O1301" i="19"/>
  <c r="O1315" i="19"/>
  <c r="N1315" i="19"/>
  <c r="N1316" i="19"/>
  <c r="O1316" i="19"/>
  <c r="I562" i="50"/>
  <c r="I1420" i="19" s="1"/>
  <c r="H562" i="50"/>
  <c r="H1420" i="19" s="1"/>
  <c r="D558" i="50"/>
  <c r="D1416" i="19" s="1"/>
  <c r="M554" i="50"/>
  <c r="M1412" i="19" s="1"/>
  <c r="L554" i="50"/>
  <c r="L1412" i="19" s="1"/>
  <c r="J554" i="50"/>
  <c r="J1412" i="19" s="1"/>
  <c r="G561" i="50"/>
  <c r="G1419" i="19" s="1"/>
  <c r="D557" i="50"/>
  <c r="D1415" i="19" s="1"/>
  <c r="I554" i="50"/>
  <c r="I1412" i="19" s="1"/>
  <c r="L556" i="50"/>
  <c r="L1414" i="19" s="1"/>
  <c r="K556" i="50"/>
  <c r="K1414" i="19" s="1"/>
  <c r="L553" i="50"/>
  <c r="L1411" i="19" s="1"/>
  <c r="K553" i="50"/>
  <c r="K1411" i="19" s="1"/>
  <c r="M555" i="50"/>
  <c r="M1413" i="19" s="1"/>
  <c r="L562" i="50"/>
  <c r="L1420" i="19" s="1"/>
  <c r="M558" i="50"/>
  <c r="M1416" i="19" s="1"/>
  <c r="G562" i="50"/>
  <c r="G1420" i="19" s="1"/>
  <c r="D559" i="50"/>
  <c r="D1417" i="19" s="1"/>
  <c r="M556" i="50"/>
  <c r="M1414" i="19" s="1"/>
  <c r="L555" i="50"/>
  <c r="L1413" i="19" s="1"/>
  <c r="K554" i="50"/>
  <c r="K1412" i="19" s="1"/>
  <c r="J553" i="50"/>
  <c r="J1411" i="19" s="1"/>
  <c r="L546" i="50"/>
  <c r="L1404" i="19" s="1"/>
  <c r="E561" i="50"/>
  <c r="E1419" i="19" s="1"/>
  <c r="D560" i="50"/>
  <c r="D1418" i="19" s="1"/>
  <c r="M557" i="50"/>
  <c r="M1415" i="19" s="1"/>
  <c r="K555" i="50"/>
  <c r="K1413" i="19" s="1"/>
  <c r="I553" i="50"/>
  <c r="I1411" i="19" s="1"/>
  <c r="E562" i="50"/>
  <c r="E1420" i="19" s="1"/>
  <c r="D561" i="50"/>
  <c r="D1419" i="19" s="1"/>
  <c r="L557" i="50"/>
  <c r="L1415" i="19" s="1"/>
  <c r="J555" i="50"/>
  <c r="J1413" i="19" s="1"/>
  <c r="H553" i="50"/>
  <c r="H1411" i="19" s="1"/>
  <c r="D562" i="50"/>
  <c r="D1420" i="19" s="1"/>
  <c r="M559" i="50"/>
  <c r="M1417" i="19" s="1"/>
  <c r="L558" i="50"/>
  <c r="L1416" i="19" s="1"/>
  <c r="K557" i="50"/>
  <c r="K1415" i="19" s="1"/>
  <c r="J556" i="50"/>
  <c r="J1414" i="19" s="1"/>
  <c r="I555" i="50"/>
  <c r="I1413" i="19" s="1"/>
  <c r="H554" i="50"/>
  <c r="H1412" i="19" s="1"/>
  <c r="G553" i="50"/>
  <c r="G1411" i="19" s="1"/>
  <c r="M560" i="50"/>
  <c r="M1418" i="19" s="1"/>
  <c r="L559" i="50"/>
  <c r="L1417" i="19" s="1"/>
  <c r="K558" i="50"/>
  <c r="K1416" i="19" s="1"/>
  <c r="J557" i="50"/>
  <c r="J1415" i="19" s="1"/>
  <c r="I556" i="50"/>
  <c r="I1414" i="19" s="1"/>
  <c r="H555" i="50"/>
  <c r="H1413" i="19" s="1"/>
  <c r="G554" i="50"/>
  <c r="G1412" i="19" s="1"/>
  <c r="D539" i="50"/>
  <c r="D1397" i="19" s="1"/>
  <c r="L560" i="50"/>
  <c r="L1418" i="19" s="1"/>
  <c r="K559" i="50"/>
  <c r="K1417" i="19" s="1"/>
  <c r="J558" i="50"/>
  <c r="J1416" i="19" s="1"/>
  <c r="I557" i="50"/>
  <c r="I1415" i="19" s="1"/>
  <c r="H556" i="50"/>
  <c r="H1414" i="19" s="1"/>
  <c r="G555" i="50"/>
  <c r="G1413" i="19" s="1"/>
  <c r="M562" i="50"/>
  <c r="M1420" i="19" s="1"/>
  <c r="K560" i="50"/>
  <c r="K1418" i="19" s="1"/>
  <c r="J559" i="50"/>
  <c r="J1417" i="19" s="1"/>
  <c r="I558" i="50"/>
  <c r="I1416" i="19" s="1"/>
  <c r="H557" i="50"/>
  <c r="H1415" i="19" s="1"/>
  <c r="G556" i="50"/>
  <c r="G1414" i="19" s="1"/>
  <c r="D553" i="50"/>
  <c r="D1411" i="19" s="1"/>
  <c r="J532" i="50"/>
  <c r="J1390" i="19" s="1"/>
  <c r="J560" i="50"/>
  <c r="J1418" i="19" s="1"/>
  <c r="I559" i="50"/>
  <c r="I1417" i="19" s="1"/>
  <c r="H558" i="50"/>
  <c r="H1416" i="19" s="1"/>
  <c r="G557" i="50"/>
  <c r="G1415" i="19" s="1"/>
  <c r="D554" i="50"/>
  <c r="D1412" i="19" s="1"/>
  <c r="K562" i="50"/>
  <c r="K1420" i="19" s="1"/>
  <c r="I560" i="50"/>
  <c r="I1418" i="19" s="1"/>
  <c r="H559" i="50"/>
  <c r="H1417" i="19" s="1"/>
  <c r="G558" i="50"/>
  <c r="G1416" i="19" s="1"/>
  <c r="D555" i="50"/>
  <c r="D1413" i="19" s="1"/>
  <c r="G560" i="50"/>
  <c r="G1418" i="19" s="1"/>
  <c r="J562" i="50"/>
  <c r="J1420" i="19" s="1"/>
  <c r="H560" i="50"/>
  <c r="H1418" i="19" s="1"/>
  <c r="G559" i="50"/>
  <c r="G1417" i="19" s="1"/>
  <c r="D556" i="50"/>
  <c r="D1414" i="19" s="1"/>
  <c r="M553" i="50"/>
  <c r="M1411" i="19" s="1"/>
  <c r="G532" i="50"/>
  <c r="G1390" i="19" s="1"/>
  <c r="K546" i="50"/>
  <c r="K1404" i="19" s="1"/>
  <c r="H542" i="50"/>
  <c r="H1400" i="19" s="1"/>
  <c r="L530" i="50"/>
  <c r="L1388" i="19" s="1"/>
  <c r="J546" i="50"/>
  <c r="J1404" i="19" s="1"/>
  <c r="J544" i="50"/>
  <c r="J1402" i="19" s="1"/>
  <c r="G542" i="50"/>
  <c r="G1400" i="19" s="1"/>
  <c r="K530" i="50"/>
  <c r="K1388" i="19" s="1"/>
  <c r="I546" i="50"/>
  <c r="I1404" i="19" s="1"/>
  <c r="I544" i="50"/>
  <c r="I1402" i="19" s="1"/>
  <c r="I530" i="50"/>
  <c r="I1388" i="19" s="1"/>
  <c r="H546" i="50"/>
  <c r="H1404" i="19" s="1"/>
  <c r="H544" i="50"/>
  <c r="H1402" i="19" s="1"/>
  <c r="D542" i="50"/>
  <c r="D1400" i="19" s="1"/>
  <c r="H530" i="50"/>
  <c r="H1388" i="19" s="1"/>
  <c r="G544" i="50"/>
  <c r="G1402" i="19" s="1"/>
  <c r="D530" i="50"/>
  <c r="D1388" i="19" s="1"/>
  <c r="G541" i="50"/>
  <c r="G1399" i="19" s="1"/>
  <c r="M548" i="50"/>
  <c r="M1406" i="19" s="1"/>
  <c r="K545" i="50"/>
  <c r="K1403" i="19" s="1"/>
  <c r="I545" i="50"/>
  <c r="I1403" i="19" s="1"/>
  <c r="H545" i="50"/>
  <c r="H1403" i="19" s="1"/>
  <c r="G543" i="50"/>
  <c r="G1401" i="19" s="1"/>
  <c r="E534" i="50"/>
  <c r="E1392" i="19" s="1"/>
  <c r="J548" i="50"/>
  <c r="J1406" i="19" s="1"/>
  <c r="I548" i="50"/>
  <c r="I1406" i="19" s="1"/>
  <c r="G546" i="50"/>
  <c r="G1404" i="19" s="1"/>
  <c r="M540" i="50"/>
  <c r="M1398" i="19" s="1"/>
  <c r="L539" i="50"/>
  <c r="L1397" i="19" s="1"/>
  <c r="D541" i="50"/>
  <c r="D1399" i="19" s="1"/>
  <c r="L528" i="50"/>
  <c r="L1386" i="19" s="1"/>
  <c r="H548" i="50"/>
  <c r="H1406" i="19" s="1"/>
  <c r="G547" i="50"/>
  <c r="G1405" i="19" s="1"/>
  <c r="D544" i="50"/>
  <c r="D1402" i="19" s="1"/>
  <c r="M541" i="50"/>
  <c r="M1399" i="19" s="1"/>
  <c r="L540" i="50"/>
  <c r="L1398" i="19" s="1"/>
  <c r="K539" i="50"/>
  <c r="K1397" i="19" s="1"/>
  <c r="M539" i="50"/>
  <c r="M1397" i="19" s="1"/>
  <c r="K528" i="50"/>
  <c r="K1386" i="19" s="1"/>
  <c r="G548" i="50"/>
  <c r="G1406" i="19" s="1"/>
  <c r="D545" i="50"/>
  <c r="D1403" i="19" s="1"/>
  <c r="M542" i="50"/>
  <c r="M1400" i="19" s="1"/>
  <c r="K540" i="50"/>
  <c r="K1398" i="19" s="1"/>
  <c r="J539" i="50"/>
  <c r="J1397" i="19" s="1"/>
  <c r="K548" i="50"/>
  <c r="K1406" i="19" s="1"/>
  <c r="J528" i="50"/>
  <c r="J1386" i="19" s="1"/>
  <c r="D546" i="50"/>
  <c r="D1404" i="19" s="1"/>
  <c r="M543" i="50"/>
  <c r="M1401" i="19" s="1"/>
  <c r="L542" i="50"/>
  <c r="L1400" i="19" s="1"/>
  <c r="J540" i="50"/>
  <c r="J1398" i="19" s="1"/>
  <c r="I539" i="50"/>
  <c r="I1397" i="19" s="1"/>
  <c r="D540" i="50"/>
  <c r="D1398" i="19" s="1"/>
  <c r="G527" i="50"/>
  <c r="G1385" i="19" s="1"/>
  <c r="D547" i="50"/>
  <c r="D1405" i="19" s="1"/>
  <c r="M544" i="50"/>
  <c r="M1402" i="19" s="1"/>
  <c r="K542" i="50"/>
  <c r="K1400" i="19" s="1"/>
  <c r="I540" i="50"/>
  <c r="I1398" i="19" s="1"/>
  <c r="H539" i="50"/>
  <c r="H1397" i="19" s="1"/>
  <c r="D548" i="50"/>
  <c r="D1406" i="19" s="1"/>
  <c r="M545" i="50"/>
  <c r="M1403" i="19" s="1"/>
  <c r="L544" i="50"/>
  <c r="L1402" i="19" s="1"/>
  <c r="J542" i="50"/>
  <c r="J1400" i="19" s="1"/>
  <c r="I541" i="50"/>
  <c r="I1399" i="19" s="1"/>
  <c r="H540" i="50"/>
  <c r="H1398" i="19" s="1"/>
  <c r="G539" i="50"/>
  <c r="G1397" i="19" s="1"/>
  <c r="L548" i="50"/>
  <c r="L1406" i="19" s="1"/>
  <c r="M546" i="50"/>
  <c r="M1404" i="19" s="1"/>
  <c r="L545" i="50"/>
  <c r="L1403" i="19" s="1"/>
  <c r="K544" i="50"/>
  <c r="K1402" i="19" s="1"/>
  <c r="J543" i="50"/>
  <c r="J1401" i="19" s="1"/>
  <c r="I542" i="50"/>
  <c r="I1400" i="19" s="1"/>
  <c r="H541" i="50"/>
  <c r="H1399" i="19" s="1"/>
  <c r="B1303" i="19"/>
  <c r="C1303" i="19"/>
  <c r="F1303" i="19"/>
  <c r="G1303" i="19"/>
  <c r="B1304" i="19"/>
  <c r="C1304" i="19"/>
  <c r="F1304" i="19"/>
  <c r="G1304" i="19"/>
  <c r="B1305" i="19"/>
  <c r="C1305" i="19"/>
  <c r="F1305" i="19"/>
  <c r="G1305" i="19"/>
  <c r="B1306" i="19"/>
  <c r="C1306" i="19"/>
  <c r="F1306" i="19"/>
  <c r="G1306" i="19"/>
  <c r="B1307" i="19"/>
  <c r="C1307" i="19"/>
  <c r="F1307" i="19"/>
  <c r="G1307" i="19"/>
  <c r="B1308" i="19"/>
  <c r="C1308" i="19"/>
  <c r="F1308" i="19"/>
  <c r="G1308" i="19"/>
  <c r="B1309" i="19"/>
  <c r="C1309" i="19"/>
  <c r="F1309" i="19"/>
  <c r="G1309" i="19"/>
  <c r="B1310" i="19"/>
  <c r="C1310" i="19"/>
  <c r="F1310" i="19"/>
  <c r="G1310" i="19"/>
  <c r="B1311" i="19"/>
  <c r="C1311" i="19"/>
  <c r="F1311" i="19"/>
  <c r="G1311" i="19"/>
  <c r="B1312" i="19"/>
  <c r="C1312" i="19"/>
  <c r="F1312" i="19"/>
  <c r="G1312" i="19"/>
  <c r="A1304" i="19"/>
  <c r="A1305" i="19"/>
  <c r="A1306" i="19"/>
  <c r="A1307" i="19"/>
  <c r="A1308" i="19"/>
  <c r="A1309" i="19"/>
  <c r="A1310" i="19"/>
  <c r="A1311" i="19"/>
  <c r="A1312" i="19"/>
  <c r="A1303"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303" i="19" s="1"/>
  <c r="J337" i="50"/>
  <c r="J1303" i="19" s="1"/>
  <c r="K337" i="50"/>
  <c r="K1303" i="19" s="1"/>
  <c r="L337" i="50"/>
  <c r="L1303" i="19" s="1"/>
  <c r="M337" i="50"/>
  <c r="M1303" i="19" s="1"/>
  <c r="I338" i="50"/>
  <c r="I1304" i="19" s="1"/>
  <c r="J338" i="50"/>
  <c r="J1304" i="19" s="1"/>
  <c r="K338" i="50"/>
  <c r="K1304" i="19" s="1"/>
  <c r="L338" i="50"/>
  <c r="L1304" i="19" s="1"/>
  <c r="M338" i="50"/>
  <c r="M1304" i="19" s="1"/>
  <c r="I339" i="50"/>
  <c r="I1305" i="19" s="1"/>
  <c r="J339" i="50"/>
  <c r="J1305" i="19" s="1"/>
  <c r="K339" i="50"/>
  <c r="K1305" i="19" s="1"/>
  <c r="L339" i="50"/>
  <c r="L1305" i="19" s="1"/>
  <c r="M339" i="50"/>
  <c r="M1305" i="19" s="1"/>
  <c r="I340" i="50"/>
  <c r="I1306" i="19" s="1"/>
  <c r="J340" i="50"/>
  <c r="J1306" i="19" s="1"/>
  <c r="K340" i="50"/>
  <c r="K1306" i="19" s="1"/>
  <c r="L340" i="50"/>
  <c r="L1306" i="19" s="1"/>
  <c r="M340" i="50"/>
  <c r="M1306" i="19" s="1"/>
  <c r="I341" i="50"/>
  <c r="I1307" i="19" s="1"/>
  <c r="J341" i="50"/>
  <c r="J1307" i="19" s="1"/>
  <c r="K341" i="50"/>
  <c r="K1307" i="19" s="1"/>
  <c r="L341" i="50"/>
  <c r="L1307" i="19" s="1"/>
  <c r="M341" i="50"/>
  <c r="M1307" i="19" s="1"/>
  <c r="I342" i="50"/>
  <c r="I1308" i="19" s="1"/>
  <c r="J342" i="50"/>
  <c r="J1308" i="19" s="1"/>
  <c r="K342" i="50"/>
  <c r="K1308" i="19" s="1"/>
  <c r="L342" i="50"/>
  <c r="L1308" i="19" s="1"/>
  <c r="M342" i="50"/>
  <c r="M1308" i="19" s="1"/>
  <c r="I343" i="50"/>
  <c r="I1309" i="19" s="1"/>
  <c r="J343" i="50"/>
  <c r="J1309" i="19" s="1"/>
  <c r="K343" i="50"/>
  <c r="K1309" i="19" s="1"/>
  <c r="L343" i="50"/>
  <c r="L1309" i="19" s="1"/>
  <c r="M343" i="50"/>
  <c r="M1309" i="19" s="1"/>
  <c r="I344" i="50"/>
  <c r="I1310" i="19" s="1"/>
  <c r="J344" i="50"/>
  <c r="J1310" i="19" s="1"/>
  <c r="K344" i="50"/>
  <c r="K1310" i="19" s="1"/>
  <c r="L344" i="50"/>
  <c r="L1310" i="19" s="1"/>
  <c r="M344" i="50"/>
  <c r="M1310" i="19" s="1"/>
  <c r="I345" i="50"/>
  <c r="I1311" i="19" s="1"/>
  <c r="J345" i="50"/>
  <c r="J1311" i="19" s="1"/>
  <c r="K345" i="50"/>
  <c r="K1311" i="19" s="1"/>
  <c r="L345" i="50"/>
  <c r="L1311" i="19" s="1"/>
  <c r="M345" i="50"/>
  <c r="M1311" i="19" s="1"/>
  <c r="I346" i="50"/>
  <c r="I1312" i="19" s="1"/>
  <c r="J346" i="50"/>
  <c r="J1312" i="19" s="1"/>
  <c r="K346" i="50"/>
  <c r="K1312" i="19" s="1"/>
  <c r="L346" i="50"/>
  <c r="L1312" i="19" s="1"/>
  <c r="M346" i="50"/>
  <c r="M1312" i="19" s="1"/>
  <c r="D342" i="50"/>
  <c r="D1308" i="19" s="1"/>
  <c r="D343" i="50"/>
  <c r="D1309" i="19" s="1"/>
  <c r="D344" i="50"/>
  <c r="D1310" i="19" s="1"/>
  <c r="D345" i="50"/>
  <c r="D1311" i="19" s="1"/>
  <c r="D346" i="50"/>
  <c r="D1312" i="19" s="1"/>
  <c r="D337" i="50"/>
  <c r="D1303" i="19" s="1"/>
  <c r="D338" i="50"/>
  <c r="D1304" i="19" s="1"/>
  <c r="D339" i="50"/>
  <c r="D1305" i="19" s="1"/>
  <c r="D340" i="50"/>
  <c r="D1306" i="19" s="1"/>
  <c r="D341" i="50"/>
  <c r="D1307" i="19" s="1"/>
  <c r="E477" i="50"/>
  <c r="E1316" i="19" s="1"/>
  <c r="E476" i="50"/>
  <c r="E1315" i="19" s="1"/>
  <c r="C97" i="25"/>
  <c r="C98" i="25"/>
  <c r="C99" i="25"/>
  <c r="C100" i="25"/>
  <c r="G619" i="50"/>
  <c r="G620" i="50"/>
  <c r="G621" i="50"/>
  <c r="G622" i="50"/>
  <c r="G623" i="50"/>
  <c r="G624" i="50"/>
  <c r="G625" i="50"/>
  <c r="G626" i="50"/>
  <c r="G627" i="50"/>
  <c r="G629" i="50"/>
  <c r="G630" i="50"/>
  <c r="G631" i="50"/>
  <c r="G628" i="50"/>
  <c r="J620" i="50" s="1"/>
  <c r="F620" i="50"/>
  <c r="F621" i="50"/>
  <c r="F622" i="50"/>
  <c r="F623" i="50"/>
  <c r="F624" i="50"/>
  <c r="F625" i="50"/>
  <c r="F626" i="50"/>
  <c r="F627" i="50"/>
  <c r="F628" i="50"/>
  <c r="F629" i="50"/>
  <c r="F630" i="50"/>
  <c r="F631" i="50"/>
  <c r="F619" i="50"/>
  <c r="Z3" i="13"/>
  <c r="Z4" i="13"/>
  <c r="Z5" i="13"/>
  <c r="Z2" i="13"/>
  <c r="Y3" i="13"/>
  <c r="Y4" i="13"/>
  <c r="Y2" i="13"/>
  <c r="X3" i="13"/>
  <c r="X2" i="13"/>
  <c r="F1287" i="19"/>
  <c r="E1287" i="19"/>
  <c r="D1287" i="19"/>
  <c r="C1287" i="19"/>
  <c r="B1287" i="19"/>
  <c r="A1287" i="19"/>
  <c r="G1286" i="19"/>
  <c r="F1286" i="19"/>
  <c r="E1286" i="19"/>
  <c r="D1286" i="19"/>
  <c r="C1286" i="19"/>
  <c r="B1286" i="19"/>
  <c r="A1286" i="19"/>
  <c r="M1285" i="19"/>
  <c r="L1285" i="19"/>
  <c r="K1285" i="19"/>
  <c r="J1285" i="19"/>
  <c r="I1285" i="19"/>
  <c r="H1285" i="19"/>
  <c r="G1285" i="19"/>
  <c r="F1285" i="19"/>
  <c r="E1285" i="19"/>
  <c r="D1285" i="19"/>
  <c r="C1285" i="19"/>
  <c r="B1285" i="19"/>
  <c r="A1285" i="19"/>
  <c r="G1284" i="19"/>
  <c r="F1284" i="19"/>
  <c r="E1284" i="19"/>
  <c r="D1284" i="19"/>
  <c r="C1284" i="19"/>
  <c r="B1284" i="19"/>
  <c r="A1284" i="19"/>
  <c r="M1283" i="19"/>
  <c r="L1283" i="19"/>
  <c r="K1283" i="19"/>
  <c r="J1283" i="19"/>
  <c r="I1283" i="19"/>
  <c r="H1283" i="19"/>
  <c r="G1283" i="19"/>
  <c r="F1283" i="19"/>
  <c r="E1283" i="19"/>
  <c r="D1283" i="19"/>
  <c r="C1283" i="19"/>
  <c r="B1283" i="19"/>
  <c r="A1283" i="19"/>
  <c r="G1282" i="19"/>
  <c r="F1282" i="19"/>
  <c r="E1282" i="19"/>
  <c r="D1282" i="19"/>
  <c r="C1282" i="19"/>
  <c r="B1282" i="19"/>
  <c r="A1282" i="19"/>
  <c r="M1281" i="19"/>
  <c r="L1281" i="19"/>
  <c r="K1281" i="19"/>
  <c r="J1281" i="19"/>
  <c r="I1281" i="19"/>
  <c r="H1281" i="19"/>
  <c r="G1281" i="19"/>
  <c r="F1281" i="19"/>
  <c r="E1281" i="19"/>
  <c r="D1281" i="19"/>
  <c r="C1281" i="19"/>
  <c r="B1281" i="19"/>
  <c r="A1281" i="19"/>
  <c r="G1280" i="19"/>
  <c r="F1280" i="19"/>
  <c r="E1280" i="19"/>
  <c r="D1280" i="19"/>
  <c r="C1280" i="19"/>
  <c r="B1280" i="19"/>
  <c r="A1280" i="19"/>
  <c r="M1279" i="19"/>
  <c r="L1279" i="19"/>
  <c r="K1279" i="19"/>
  <c r="J1279" i="19"/>
  <c r="I1279" i="19"/>
  <c r="H1279" i="19"/>
  <c r="G1279" i="19"/>
  <c r="F1279" i="19"/>
  <c r="E1279" i="19"/>
  <c r="D1279" i="19"/>
  <c r="C1279" i="19"/>
  <c r="B1279" i="19"/>
  <c r="A1279" i="19"/>
  <c r="G1278" i="19"/>
  <c r="F1278" i="19"/>
  <c r="E1278" i="19"/>
  <c r="D1278" i="19"/>
  <c r="C1278" i="19"/>
  <c r="B1278" i="19"/>
  <c r="A1278" i="19"/>
  <c r="M1277" i="19"/>
  <c r="L1277" i="19"/>
  <c r="K1277" i="19"/>
  <c r="J1277" i="19"/>
  <c r="I1277" i="19"/>
  <c r="H1277" i="19"/>
  <c r="G1277" i="19"/>
  <c r="F1277" i="19"/>
  <c r="E1277" i="19"/>
  <c r="D1277" i="19"/>
  <c r="C1277" i="19"/>
  <c r="B1277" i="19"/>
  <c r="A1277" i="19"/>
  <c r="M1276" i="19"/>
  <c r="L1276" i="19"/>
  <c r="K1276" i="19"/>
  <c r="J1276" i="19"/>
  <c r="I1276" i="19"/>
  <c r="H1276" i="19"/>
  <c r="G1276" i="19"/>
  <c r="F1276" i="19"/>
  <c r="E1276" i="19"/>
  <c r="D1276" i="19"/>
  <c r="C1276" i="19"/>
  <c r="B1276" i="19"/>
  <c r="A1276" i="19"/>
  <c r="M1275" i="19"/>
  <c r="L1275" i="19"/>
  <c r="K1275" i="19"/>
  <c r="J1275" i="19"/>
  <c r="I1275" i="19"/>
  <c r="H1275" i="19"/>
  <c r="G1275" i="19"/>
  <c r="F1275" i="19"/>
  <c r="E1275" i="19"/>
  <c r="D1275" i="19"/>
  <c r="C1275" i="19"/>
  <c r="B1275" i="19"/>
  <c r="A1275" i="19"/>
  <c r="M1274" i="19"/>
  <c r="L1274" i="19"/>
  <c r="K1274" i="19"/>
  <c r="J1274" i="19"/>
  <c r="I1274" i="19"/>
  <c r="H1274" i="19"/>
  <c r="G1274" i="19"/>
  <c r="F1274" i="19"/>
  <c r="E1274" i="19"/>
  <c r="D1274" i="19"/>
  <c r="C1274" i="19"/>
  <c r="B1274" i="19"/>
  <c r="A1274" i="19"/>
  <c r="M1273" i="19"/>
  <c r="L1273" i="19"/>
  <c r="K1273" i="19"/>
  <c r="J1273" i="19"/>
  <c r="I1273" i="19"/>
  <c r="H1273" i="19"/>
  <c r="G1273" i="19"/>
  <c r="F1273" i="19"/>
  <c r="E1273" i="19"/>
  <c r="D1273" i="19"/>
  <c r="C1273" i="19"/>
  <c r="B1273" i="19"/>
  <c r="A1273" i="19"/>
  <c r="M1272" i="19"/>
  <c r="L1272" i="19"/>
  <c r="K1272" i="19"/>
  <c r="J1272" i="19"/>
  <c r="I1272" i="19"/>
  <c r="H1272" i="19"/>
  <c r="G1272" i="19"/>
  <c r="F1272" i="19"/>
  <c r="E1272" i="19"/>
  <c r="D1272" i="19"/>
  <c r="C1272" i="19"/>
  <c r="B1272" i="19"/>
  <c r="A1272" i="19"/>
  <c r="H1288" i="19"/>
  <c r="I1288" i="19"/>
  <c r="J1288" i="19"/>
  <c r="K1288" i="19"/>
  <c r="L1288" i="19"/>
  <c r="M1288" i="19"/>
  <c r="H1290" i="19"/>
  <c r="I1290" i="19"/>
  <c r="J1290" i="19"/>
  <c r="K1290" i="19"/>
  <c r="L1290" i="19"/>
  <c r="M1290" i="19"/>
  <c r="H1292" i="19"/>
  <c r="I1292" i="19"/>
  <c r="J1292" i="19"/>
  <c r="K1292" i="19"/>
  <c r="L1292" i="19"/>
  <c r="M1292" i="19"/>
  <c r="H1294" i="19"/>
  <c r="I1294" i="19"/>
  <c r="J1294" i="19"/>
  <c r="K1294" i="19"/>
  <c r="L1294" i="19"/>
  <c r="M1294" i="19"/>
  <c r="H1296" i="19"/>
  <c r="I1296" i="19"/>
  <c r="J1296" i="19"/>
  <c r="K1296" i="19"/>
  <c r="L1296" i="19"/>
  <c r="M1296" i="19"/>
  <c r="I1271" i="19"/>
  <c r="J1271" i="19"/>
  <c r="K1271" i="19"/>
  <c r="L1271" i="19"/>
  <c r="M1271" i="19"/>
  <c r="H1271" i="19"/>
  <c r="N1261" i="19"/>
  <c r="H1262" i="19"/>
  <c r="I1262" i="19"/>
  <c r="J1262" i="19"/>
  <c r="K1262" i="19"/>
  <c r="L1262" i="19"/>
  <c r="M1262" i="19"/>
  <c r="A1295" i="19"/>
  <c r="B1295" i="19"/>
  <c r="C1295" i="19"/>
  <c r="D1295" i="19"/>
  <c r="E1295" i="19"/>
  <c r="F1295" i="19"/>
  <c r="A1296" i="19"/>
  <c r="B1296" i="19"/>
  <c r="C1296" i="19"/>
  <c r="D1296" i="19"/>
  <c r="E1296" i="19"/>
  <c r="F1296" i="19"/>
  <c r="G1296" i="19"/>
  <c r="A1297" i="19"/>
  <c r="B1297" i="19"/>
  <c r="C1297" i="19"/>
  <c r="D1297" i="19"/>
  <c r="E1297" i="19"/>
  <c r="F1297" i="19"/>
  <c r="A1291" i="19"/>
  <c r="B1291" i="19"/>
  <c r="C1291" i="19"/>
  <c r="D1291" i="19"/>
  <c r="E1291" i="19"/>
  <c r="F1291" i="19"/>
  <c r="A1292" i="19"/>
  <c r="B1292" i="19"/>
  <c r="C1292" i="19"/>
  <c r="D1292" i="19"/>
  <c r="E1292" i="19"/>
  <c r="F1292" i="19"/>
  <c r="G1292" i="19"/>
  <c r="A1293" i="19"/>
  <c r="B1293" i="19"/>
  <c r="C1293" i="19"/>
  <c r="D1293" i="19"/>
  <c r="E1293" i="19"/>
  <c r="F1293" i="19"/>
  <c r="B1294" i="19"/>
  <c r="C1294" i="19"/>
  <c r="D1294" i="19"/>
  <c r="E1294" i="19"/>
  <c r="F1294" i="19"/>
  <c r="G1294" i="19"/>
  <c r="A1288" i="19"/>
  <c r="B1288" i="19"/>
  <c r="C1288" i="19"/>
  <c r="D1288" i="19"/>
  <c r="E1288" i="19"/>
  <c r="F1288" i="19"/>
  <c r="G1288" i="19"/>
  <c r="A1289" i="19"/>
  <c r="B1289" i="19"/>
  <c r="C1289" i="19"/>
  <c r="D1289" i="19"/>
  <c r="E1289" i="19"/>
  <c r="F1289" i="19"/>
  <c r="A1290" i="19"/>
  <c r="B1290" i="19"/>
  <c r="C1290" i="19"/>
  <c r="D1290" i="19"/>
  <c r="E1290" i="19"/>
  <c r="F1290" i="19"/>
  <c r="B1271" i="19"/>
  <c r="C1271" i="19"/>
  <c r="D1271" i="19"/>
  <c r="E1271" i="19"/>
  <c r="F1271" i="19"/>
  <c r="G1271" i="19"/>
  <c r="A1271" i="19"/>
  <c r="A1270" i="19"/>
  <c r="B1270" i="19"/>
  <c r="C1270" i="19"/>
  <c r="D1270" i="19"/>
  <c r="E1270" i="19"/>
  <c r="F1270" i="19"/>
  <c r="G1270" i="19"/>
  <c r="B1269" i="19"/>
  <c r="C1269" i="19"/>
  <c r="D1269" i="19"/>
  <c r="E1269" i="19"/>
  <c r="F1269" i="19"/>
  <c r="G1269" i="19"/>
  <c r="A1269" i="19"/>
  <c r="A1261" i="19"/>
  <c r="B1261" i="19"/>
  <c r="C1261" i="19"/>
  <c r="D1261" i="19"/>
  <c r="E1261" i="19"/>
  <c r="F1261" i="19"/>
  <c r="A1262" i="19"/>
  <c r="B1262" i="19"/>
  <c r="C1262" i="19"/>
  <c r="D1262" i="19"/>
  <c r="F1262" i="19"/>
  <c r="A1268" i="19"/>
  <c r="B1268" i="19"/>
  <c r="C1268" i="19"/>
  <c r="D1268" i="19"/>
  <c r="E1268" i="19"/>
  <c r="F1268" i="19"/>
  <c r="B1260" i="19"/>
  <c r="C1260" i="19"/>
  <c r="D1260" i="19"/>
  <c r="F1260" i="19"/>
  <c r="G1260" i="19"/>
  <c r="A1260" i="19"/>
  <c r="O577" i="50"/>
  <c r="N577" i="50"/>
  <c r="O576" i="50"/>
  <c r="N576" i="50"/>
  <c r="O1401" i="19" l="1"/>
  <c r="N1386" i="19"/>
  <c r="N1406" i="19"/>
  <c r="O1406" i="19"/>
  <c r="N1378" i="19"/>
  <c r="O1374" i="19"/>
  <c r="N1412" i="19"/>
  <c r="O1416" i="19"/>
  <c r="O1414" i="19"/>
  <c r="O1415" i="19"/>
  <c r="O1402" i="19"/>
  <c r="O1398" i="19"/>
  <c r="N1368" i="19"/>
  <c r="N1420" i="19"/>
  <c r="O1378" i="19"/>
  <c r="O1420" i="19"/>
  <c r="O1368" i="19"/>
  <c r="O1386" i="19"/>
  <c r="N1415" i="19"/>
  <c r="N1398" i="19"/>
  <c r="N1388" i="19"/>
  <c r="N1400" i="19"/>
  <c r="O1412" i="19"/>
  <c r="N1402" i="19"/>
  <c r="N1401" i="19"/>
  <c r="O1400" i="19"/>
  <c r="O1388" i="19"/>
  <c r="N1416" i="19"/>
  <c r="N1414" i="19"/>
  <c r="N1374" i="19"/>
  <c r="J552" i="50"/>
  <c r="J1410" i="19" s="1"/>
  <c r="I552" i="50"/>
  <c r="I1410" i="19" s="1"/>
  <c r="I550" i="50"/>
  <c r="I1408" i="19" s="1"/>
  <c r="K561" i="50"/>
  <c r="K1419" i="19" s="1"/>
  <c r="H550" i="50"/>
  <c r="H1408" i="19" s="1"/>
  <c r="M550" i="50"/>
  <c r="M1408" i="19" s="1"/>
  <c r="L550" i="50"/>
  <c r="L1408" i="19" s="1"/>
  <c r="E37" i="56"/>
  <c r="E120" i="56" s="1"/>
  <c r="J550" i="50"/>
  <c r="J1408" i="19" s="1"/>
  <c r="M552" i="50"/>
  <c r="M1410" i="19" s="1"/>
  <c r="K550" i="50"/>
  <c r="K1408" i="19" s="1"/>
  <c r="H561" i="50"/>
  <c r="H1419" i="19" s="1"/>
  <c r="L552" i="50"/>
  <c r="L1410" i="19" s="1"/>
  <c r="H552" i="50"/>
  <c r="H1410" i="19" s="1"/>
  <c r="M561" i="50"/>
  <c r="M1419" i="19" s="1"/>
  <c r="K552" i="50"/>
  <c r="K1410" i="19" s="1"/>
  <c r="J621" i="50"/>
  <c r="J622" i="50"/>
  <c r="J623" i="50"/>
  <c r="K20" i="50"/>
  <c r="E17" i="53"/>
  <c r="E16" i="53"/>
  <c r="E15" i="53"/>
  <c r="E29" i="53"/>
  <c r="E1322" i="19" s="1"/>
  <c r="E30" i="53"/>
  <c r="E1323" i="19" s="1"/>
  <c r="E33" i="53"/>
  <c r="E1326" i="19" s="1"/>
  <c r="E35" i="53"/>
  <c r="E1328" i="19" s="1"/>
  <c r="E36" i="53"/>
  <c r="E1329" i="19" s="1"/>
  <c r="E41" i="53"/>
  <c r="E1334" i="19" s="1"/>
  <c r="E42" i="53"/>
  <c r="E1335" i="19" s="1"/>
  <c r="E39" i="53"/>
  <c r="E1332" i="19" s="1"/>
  <c r="O1303" i="19"/>
  <c r="N1303" i="19"/>
  <c r="J619" i="50"/>
  <c r="N1304" i="19"/>
  <c r="O1304" i="19"/>
  <c r="N1309" i="19"/>
  <c r="N1311" i="19"/>
  <c r="N1310" i="19"/>
  <c r="O1310" i="19"/>
  <c r="O1288" i="19"/>
  <c r="N1312" i="19"/>
  <c r="O1305" i="19"/>
  <c r="O1292" i="19"/>
  <c r="O1312" i="19"/>
  <c r="N1307" i="19"/>
  <c r="N1305" i="19"/>
  <c r="O1296" i="19"/>
  <c r="O1307" i="19"/>
  <c r="O1309" i="19"/>
  <c r="O1294" i="19"/>
  <c r="O1311" i="19"/>
  <c r="N1306" i="19"/>
  <c r="O1290" i="19"/>
  <c r="O1306" i="19"/>
  <c r="N1308" i="19"/>
  <c r="O1308" i="19"/>
  <c r="I523" i="50"/>
  <c r="I1381" i="19" s="1"/>
  <c r="I536" i="50"/>
  <c r="I1394" i="19" s="1"/>
  <c r="J525" i="50"/>
  <c r="J1383" i="19" s="1"/>
  <c r="J538" i="50"/>
  <c r="J1396" i="19" s="1"/>
  <c r="H523" i="50"/>
  <c r="H1381" i="19" s="1"/>
  <c r="H536" i="50"/>
  <c r="H1394" i="19" s="1"/>
  <c r="M523" i="50"/>
  <c r="M1381" i="19" s="1"/>
  <c r="M536" i="50"/>
  <c r="M1394" i="19" s="1"/>
  <c r="L523" i="50"/>
  <c r="L1381" i="19" s="1"/>
  <c r="L536" i="50"/>
  <c r="L1394" i="19" s="1"/>
  <c r="J523" i="50"/>
  <c r="J1381" i="19" s="1"/>
  <c r="J536" i="50"/>
  <c r="J1394" i="19" s="1"/>
  <c r="K523" i="50"/>
  <c r="K1381" i="19" s="1"/>
  <c r="K536" i="50"/>
  <c r="K1394" i="19" s="1"/>
  <c r="L561" i="50"/>
  <c r="L1419" i="19" s="1"/>
  <c r="J561" i="50"/>
  <c r="J1419" i="19" s="1"/>
  <c r="I561" i="50"/>
  <c r="I1419" i="19" s="1"/>
  <c r="E35" i="56"/>
  <c r="E118" i="56"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K863" i="20"/>
  <c r="K836" i="20"/>
  <c r="K1043" i="20"/>
  <c r="K1034" i="20"/>
  <c r="K1016" i="20"/>
  <c r="K1007" i="20"/>
  <c r="K989" i="20"/>
  <c r="K980" i="20"/>
  <c r="K962" i="20"/>
  <c r="K953" i="20"/>
  <c r="K935" i="20"/>
  <c r="K926" i="20"/>
  <c r="K908" i="20"/>
  <c r="K899" i="20"/>
  <c r="K881" i="20"/>
  <c r="K872" i="20"/>
  <c r="K854" i="20"/>
  <c r="K845" i="20"/>
  <c r="K827" i="20"/>
  <c r="K818" i="20"/>
  <c r="N1271" i="19"/>
  <c r="O1271"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272" i="19"/>
  <c r="N1288" i="19"/>
  <c r="O1262" i="19"/>
  <c r="O1283" i="19"/>
  <c r="N1277" i="19"/>
  <c r="N1268" i="19"/>
  <c r="N1266" i="19"/>
  <c r="O1266" i="19"/>
  <c r="N1293" i="19"/>
  <c r="N1291" i="19"/>
  <c r="N1290" i="19"/>
  <c r="N1282" i="19"/>
  <c r="N1281" i="19"/>
  <c r="N1279" i="19"/>
  <c r="O1269" i="19"/>
  <c r="N1292" i="19"/>
  <c r="N1289" i="19"/>
  <c r="N1287" i="19"/>
  <c r="O1286" i="19"/>
  <c r="N1285" i="19"/>
  <c r="N1284" i="19"/>
  <c r="N1283" i="19"/>
  <c r="N1280" i="19"/>
  <c r="N1278" i="19"/>
  <c r="O1277" i="19"/>
  <c r="N1276" i="19"/>
  <c r="N1275" i="19"/>
  <c r="N1274" i="19"/>
  <c r="N1273" i="19"/>
  <c r="N1286" i="19"/>
  <c r="O1275" i="19"/>
  <c r="N1269" i="19"/>
  <c r="O1268" i="19"/>
  <c r="N1267" i="19"/>
  <c r="O1281" i="19"/>
  <c r="O1280" i="19"/>
  <c r="O1272" i="19"/>
  <c r="N1296" i="19"/>
  <c r="N1294" i="19"/>
  <c r="N1295" i="19"/>
  <c r="O1284" i="19"/>
  <c r="O1274" i="19"/>
  <c r="N1270" i="19"/>
  <c r="N1262" i="19"/>
  <c r="O1261" i="19"/>
  <c r="N1260" i="19"/>
  <c r="O1287" i="19"/>
  <c r="O1278" i="19"/>
  <c r="O1285" i="19"/>
  <c r="O1282" i="19"/>
  <c r="O1279" i="19"/>
  <c r="O1276" i="19"/>
  <c r="O1273" i="19"/>
  <c r="O1270" i="19"/>
  <c r="O1267" i="19"/>
  <c r="O1260" i="19"/>
  <c r="I538" i="50" l="1"/>
  <c r="I1396" i="19" s="1"/>
  <c r="I525" i="50"/>
  <c r="I1383" i="19" s="1"/>
  <c r="K547" i="50"/>
  <c r="K1405" i="19" s="1"/>
  <c r="O1419" i="19"/>
  <c r="N1410" i="19"/>
  <c r="O1410" i="19"/>
  <c r="N1419" i="19"/>
  <c r="H538" i="50"/>
  <c r="H1396" i="19" s="1"/>
  <c r="H525" i="50"/>
  <c r="H1383" i="19" s="1"/>
  <c r="K525" i="50"/>
  <c r="K1383" i="19" s="1"/>
  <c r="K534" i="50"/>
  <c r="K1392" i="19" s="1"/>
  <c r="L525" i="50"/>
  <c r="L1383" i="19" s="1"/>
  <c r="K538" i="50"/>
  <c r="K1396" i="19" s="1"/>
  <c r="H547" i="50"/>
  <c r="H1405" i="19" s="1"/>
  <c r="H534" i="50"/>
  <c r="H1392" i="19" s="1"/>
  <c r="M534" i="50"/>
  <c r="M1392" i="19" s="1"/>
  <c r="M525" i="50"/>
  <c r="M1383" i="19" s="1"/>
  <c r="M538" i="50"/>
  <c r="M1396" i="19" s="1"/>
  <c r="L538" i="50"/>
  <c r="L1396" i="19" s="1"/>
  <c r="E33" i="56"/>
  <c r="E116" i="56" s="1"/>
  <c r="E559" i="50"/>
  <c r="E1417" i="19" s="1"/>
  <c r="E557" i="50"/>
  <c r="E1415" i="19" s="1"/>
  <c r="E36" i="56"/>
  <c r="E119" i="56" s="1"/>
  <c r="M547" i="50"/>
  <c r="M1405" i="19" s="1"/>
  <c r="E32" i="56"/>
  <c r="E115" i="56" s="1"/>
  <c r="E31" i="56"/>
  <c r="E114" i="56" s="1"/>
  <c r="E508" i="50"/>
  <c r="E1368" i="19" s="1"/>
  <c r="E518" i="50"/>
  <c r="E1378" i="19" s="1"/>
  <c r="E514" i="50"/>
  <c r="E1374" i="19" s="1"/>
  <c r="J624" i="50"/>
  <c r="E1319" i="19"/>
  <c r="E174" i="26"/>
  <c r="E1320" i="19"/>
  <c r="E182" i="26"/>
  <c r="K619" i="50"/>
  <c r="AB2" i="13"/>
  <c r="AB3" i="13"/>
  <c r="K620" i="50"/>
  <c r="K623" i="50"/>
  <c r="AB6" i="13"/>
  <c r="K622" i="50"/>
  <c r="AB5" i="13"/>
  <c r="K621" i="50"/>
  <c r="AB4" i="13"/>
  <c r="J534" i="50"/>
  <c r="J1392" i="19" s="1"/>
  <c r="J547" i="50"/>
  <c r="J1405" i="19" s="1"/>
  <c r="L534" i="50"/>
  <c r="L1392" i="19" s="1"/>
  <c r="L547" i="50"/>
  <c r="L1405" i="19" s="1"/>
  <c r="I534" i="50"/>
  <c r="I1392" i="19" s="1"/>
  <c r="I547" i="50"/>
  <c r="I1405" i="19" s="1"/>
  <c r="E38" i="56" l="1"/>
  <c r="E121" i="56" s="1"/>
  <c r="E560" i="50" s="1"/>
  <c r="E1418" i="19" s="1"/>
  <c r="E34" i="56"/>
  <c r="E117" i="56" s="1"/>
  <c r="E556" i="50" s="1"/>
  <c r="E1414" i="19" s="1"/>
  <c r="E543" i="50"/>
  <c r="E1401" i="19" s="1"/>
  <c r="O1396" i="19"/>
  <c r="N1392" i="19"/>
  <c r="E530" i="50"/>
  <c r="E1388" i="19" s="1"/>
  <c r="N1405" i="19"/>
  <c r="N1396" i="19"/>
  <c r="O1392" i="19"/>
  <c r="O1405" i="19"/>
  <c r="E545" i="50"/>
  <c r="E1403" i="19" s="1"/>
  <c r="E532" i="50"/>
  <c r="E1390" i="19" s="1"/>
  <c r="E558" i="50"/>
  <c r="E1416" i="19" s="1"/>
  <c r="E531" i="50"/>
  <c r="E1389" i="19" s="1"/>
  <c r="E544" i="50"/>
  <c r="E1402" i="19" s="1"/>
  <c r="E546" i="50"/>
  <c r="E1404" i="19" s="1"/>
  <c r="E533" i="50"/>
  <c r="E1391" i="19" s="1"/>
  <c r="E542" i="50"/>
  <c r="E1400" i="19" s="1"/>
  <c r="E529" i="50"/>
  <c r="E1387" i="19" s="1"/>
  <c r="E553" i="50"/>
  <c r="E1411" i="19" s="1"/>
  <c r="AC5" i="13"/>
  <c r="L622" i="50"/>
  <c r="AD5" i="13" s="1"/>
  <c r="AC6" i="13"/>
  <c r="L623" i="50"/>
  <c r="AD6" i="13" s="1"/>
  <c r="AC4" i="13"/>
  <c r="L621" i="50"/>
  <c r="AD4" i="13" s="1"/>
  <c r="L620" i="50"/>
  <c r="AD3" i="13" s="1"/>
  <c r="AC3" i="13"/>
  <c r="K624" i="50"/>
  <c r="K625" i="50" s="1"/>
  <c r="AC8" i="13" s="1"/>
  <c r="AB7" i="13"/>
  <c r="L619" i="50"/>
  <c r="AD2" i="13" s="1"/>
  <c r="AC2" i="13"/>
  <c r="E526" i="50" l="1"/>
  <c r="E1384" i="19" s="1"/>
  <c r="E554" i="50"/>
  <c r="E1412" i="19" s="1"/>
  <c r="E527" i="50"/>
  <c r="E1385" i="19" s="1"/>
  <c r="E540" i="50"/>
  <c r="E1398" i="19" s="1"/>
  <c r="E555" i="50"/>
  <c r="E1413" i="19" s="1"/>
  <c r="E528" i="50"/>
  <c r="E1386" i="19" s="1"/>
  <c r="E541" i="50"/>
  <c r="E1399" i="19" s="1"/>
  <c r="E539" i="50"/>
  <c r="E1397" i="19" s="1"/>
  <c r="L624" i="50"/>
  <c r="AD7" i="13" s="1"/>
  <c r="AC7" i="13"/>
  <c r="L625" i="50"/>
  <c r="AD8" i="13" s="1"/>
  <c r="O1142" i="19"/>
  <c r="O1141" i="19"/>
  <c r="N1141" i="19"/>
  <c r="O1140" i="19"/>
  <c r="N1140" i="19"/>
  <c r="O1139" i="19"/>
  <c r="N1139" i="19"/>
  <c r="O1138" i="19"/>
  <c r="N1138" i="19"/>
  <c r="O1137" i="19"/>
  <c r="N1137" i="19"/>
  <c r="O1136" i="19"/>
  <c r="N1136" i="19"/>
  <c r="O1135" i="19"/>
  <c r="N1135" i="19"/>
  <c r="O1134" i="19"/>
  <c r="N1134" i="19"/>
  <c r="O1133" i="19"/>
  <c r="N1133" i="19"/>
  <c r="O1132" i="19"/>
  <c r="N1132" i="19"/>
  <c r="H1202" i="19"/>
  <c r="I1202" i="19"/>
  <c r="J1202" i="19"/>
  <c r="K1202" i="19"/>
  <c r="L1202" i="19"/>
  <c r="M1202" i="19"/>
  <c r="H1203" i="19"/>
  <c r="I1203" i="19"/>
  <c r="J1203" i="19"/>
  <c r="K1203" i="19"/>
  <c r="L1203" i="19"/>
  <c r="M1203" i="19"/>
  <c r="H1204" i="19"/>
  <c r="I1204" i="19"/>
  <c r="J1204" i="19"/>
  <c r="K1204" i="19"/>
  <c r="L1204" i="19"/>
  <c r="M1204" i="19"/>
  <c r="H1205" i="19"/>
  <c r="I1205" i="19"/>
  <c r="J1205" i="19"/>
  <c r="K1205" i="19"/>
  <c r="L1205" i="19"/>
  <c r="M1205" i="19"/>
  <c r="H1206" i="19"/>
  <c r="I1206" i="19"/>
  <c r="J1206" i="19"/>
  <c r="K1206" i="19"/>
  <c r="L1206" i="19"/>
  <c r="M1206" i="19"/>
  <c r="H1207" i="19"/>
  <c r="I1207" i="19"/>
  <c r="J1207" i="19"/>
  <c r="K1207" i="19"/>
  <c r="L1207" i="19"/>
  <c r="M1207" i="19"/>
  <c r="H1208" i="19"/>
  <c r="I1208" i="19"/>
  <c r="J1208" i="19"/>
  <c r="K1208" i="19"/>
  <c r="L1208" i="19"/>
  <c r="M1208" i="19"/>
  <c r="H1209" i="19"/>
  <c r="I1209" i="19"/>
  <c r="J1209" i="19"/>
  <c r="K1209" i="19"/>
  <c r="L1209" i="19"/>
  <c r="M1209" i="19"/>
  <c r="H1210" i="19"/>
  <c r="I1210" i="19"/>
  <c r="J1210" i="19"/>
  <c r="K1210" i="19"/>
  <c r="L1210" i="19"/>
  <c r="M1210" i="19"/>
  <c r="H1211" i="19"/>
  <c r="I1211" i="19"/>
  <c r="J1211" i="19"/>
  <c r="K1211" i="19"/>
  <c r="L1211" i="19"/>
  <c r="M1211" i="19"/>
  <c r="H1212" i="19"/>
  <c r="I1212" i="19"/>
  <c r="J1212" i="19"/>
  <c r="K1212" i="19"/>
  <c r="L1212" i="19"/>
  <c r="M1212" i="19"/>
  <c r="H1213" i="19"/>
  <c r="I1213" i="19"/>
  <c r="J1213" i="19"/>
  <c r="K1213" i="19"/>
  <c r="L1213" i="19"/>
  <c r="M1213" i="19"/>
  <c r="H1214" i="19"/>
  <c r="I1214" i="19"/>
  <c r="J1214" i="19"/>
  <c r="K1214" i="19"/>
  <c r="L1214" i="19"/>
  <c r="M1214" i="19"/>
  <c r="H1215" i="19"/>
  <c r="I1215" i="19"/>
  <c r="J1215" i="19"/>
  <c r="K1215" i="19"/>
  <c r="L1215" i="19"/>
  <c r="M1215" i="19"/>
  <c r="H1216" i="19"/>
  <c r="I1216" i="19"/>
  <c r="J1216" i="19"/>
  <c r="K1216" i="19"/>
  <c r="L1216" i="19"/>
  <c r="M1216" i="19"/>
  <c r="H1217" i="19"/>
  <c r="I1217" i="19"/>
  <c r="J1217" i="19"/>
  <c r="K1217" i="19"/>
  <c r="L1217" i="19"/>
  <c r="M1217" i="19"/>
  <c r="H1218" i="19"/>
  <c r="I1218" i="19"/>
  <c r="J1218" i="19"/>
  <c r="K1218" i="19"/>
  <c r="L1218" i="19"/>
  <c r="M1218" i="19"/>
  <c r="H1219" i="19"/>
  <c r="I1219" i="19"/>
  <c r="J1219" i="19"/>
  <c r="K1219" i="19"/>
  <c r="L1219" i="19"/>
  <c r="M1219" i="19"/>
  <c r="H1220" i="19"/>
  <c r="I1220" i="19"/>
  <c r="J1220" i="19"/>
  <c r="K1220" i="19"/>
  <c r="L1220" i="19"/>
  <c r="M1220" i="19"/>
  <c r="H1221" i="19"/>
  <c r="I1221" i="19"/>
  <c r="J1221" i="19"/>
  <c r="K1221" i="19"/>
  <c r="L1221" i="19"/>
  <c r="M1221" i="19"/>
  <c r="H1222" i="19"/>
  <c r="I1222" i="19"/>
  <c r="J1222" i="19"/>
  <c r="K1222" i="19"/>
  <c r="L1222" i="19"/>
  <c r="M1222" i="19"/>
  <c r="H1223" i="19"/>
  <c r="I1223" i="19"/>
  <c r="J1223" i="19"/>
  <c r="K1223" i="19"/>
  <c r="L1223" i="19"/>
  <c r="M1223" i="19"/>
  <c r="H1224" i="19"/>
  <c r="I1224" i="19"/>
  <c r="J1224" i="19"/>
  <c r="K1224" i="19"/>
  <c r="L1224" i="19"/>
  <c r="M1224" i="19"/>
  <c r="H1225" i="19"/>
  <c r="I1225" i="19"/>
  <c r="J1225" i="19"/>
  <c r="K1225" i="19"/>
  <c r="L1225" i="19"/>
  <c r="M1225" i="19"/>
  <c r="H1226" i="19"/>
  <c r="I1226" i="19"/>
  <c r="J1226" i="19"/>
  <c r="K1226" i="19"/>
  <c r="L1226" i="19"/>
  <c r="M1226" i="19"/>
  <c r="H1227" i="19"/>
  <c r="I1227" i="19"/>
  <c r="J1227" i="19"/>
  <c r="K1227" i="19"/>
  <c r="L1227" i="19"/>
  <c r="M1227" i="19"/>
  <c r="H1228" i="19"/>
  <c r="I1228" i="19"/>
  <c r="J1228" i="19"/>
  <c r="K1228" i="19"/>
  <c r="L1228" i="19"/>
  <c r="M1228" i="19"/>
  <c r="H1229" i="19"/>
  <c r="I1229" i="19"/>
  <c r="J1229" i="19"/>
  <c r="K1229" i="19"/>
  <c r="L1229" i="19"/>
  <c r="M1229" i="19"/>
  <c r="H1230" i="19"/>
  <c r="I1230" i="19"/>
  <c r="J1230" i="19"/>
  <c r="K1230" i="19"/>
  <c r="L1230" i="19"/>
  <c r="M1230" i="19"/>
  <c r="H1231" i="19"/>
  <c r="I1231" i="19"/>
  <c r="J1231" i="19"/>
  <c r="K1231" i="19"/>
  <c r="L1231" i="19"/>
  <c r="M1231" i="19"/>
  <c r="H1232" i="19"/>
  <c r="I1232" i="19"/>
  <c r="J1232" i="19"/>
  <c r="K1232" i="19"/>
  <c r="L1232" i="19"/>
  <c r="M1232" i="19"/>
  <c r="H1233" i="19"/>
  <c r="I1233" i="19"/>
  <c r="J1233" i="19"/>
  <c r="K1233" i="19"/>
  <c r="L1233" i="19"/>
  <c r="M1233" i="19"/>
  <c r="H1234" i="19"/>
  <c r="I1234" i="19"/>
  <c r="J1234" i="19"/>
  <c r="K1234" i="19"/>
  <c r="L1234" i="19"/>
  <c r="M1234" i="19"/>
  <c r="H1235" i="19"/>
  <c r="I1235" i="19"/>
  <c r="J1235" i="19"/>
  <c r="K1235" i="19"/>
  <c r="L1235" i="19"/>
  <c r="M1235" i="19"/>
  <c r="H1236" i="19"/>
  <c r="I1236" i="19"/>
  <c r="J1236" i="19"/>
  <c r="K1236" i="19"/>
  <c r="L1236" i="19"/>
  <c r="M1236" i="19"/>
  <c r="H1237" i="19"/>
  <c r="I1237" i="19"/>
  <c r="J1237" i="19"/>
  <c r="K1237" i="19"/>
  <c r="L1237" i="19"/>
  <c r="M1237" i="19"/>
  <c r="H1238" i="19"/>
  <c r="I1238" i="19"/>
  <c r="J1238" i="19"/>
  <c r="K1238" i="19"/>
  <c r="L1238" i="19"/>
  <c r="M1238"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01" i="19"/>
  <c r="I1201" i="19"/>
  <c r="J1201" i="19"/>
  <c r="K1201" i="19"/>
  <c r="L1201" i="19"/>
  <c r="M1201" i="19"/>
  <c r="A1202" i="19"/>
  <c r="B1202" i="19"/>
  <c r="C1202" i="19"/>
  <c r="D1202" i="19"/>
  <c r="E1202" i="19"/>
  <c r="F1202" i="19"/>
  <c r="G1202" i="19"/>
  <c r="A1203" i="19"/>
  <c r="B1203" i="19"/>
  <c r="C1203" i="19"/>
  <c r="D1203" i="19"/>
  <c r="E1203" i="19"/>
  <c r="F1203" i="19"/>
  <c r="G1203" i="19"/>
  <c r="A1204" i="19"/>
  <c r="B1204" i="19"/>
  <c r="C1204" i="19"/>
  <c r="D1204" i="19"/>
  <c r="E1204" i="19"/>
  <c r="F1204" i="19"/>
  <c r="G1204" i="19"/>
  <c r="A1205" i="19"/>
  <c r="B1205" i="19"/>
  <c r="C1205" i="19"/>
  <c r="D1205" i="19"/>
  <c r="E1205" i="19"/>
  <c r="F1205" i="19"/>
  <c r="G1205" i="19"/>
  <c r="A1206" i="19"/>
  <c r="B1206" i="19"/>
  <c r="C1206" i="19"/>
  <c r="D1206" i="19"/>
  <c r="E1206" i="19"/>
  <c r="F1206" i="19"/>
  <c r="G1206" i="19"/>
  <c r="A1207" i="19"/>
  <c r="B1207" i="19"/>
  <c r="C1207" i="19"/>
  <c r="D1207" i="19"/>
  <c r="E1207" i="19"/>
  <c r="F1207" i="19"/>
  <c r="G1207" i="19"/>
  <c r="A1208" i="19"/>
  <c r="B1208" i="19"/>
  <c r="C1208" i="19"/>
  <c r="D1208" i="19"/>
  <c r="E1208" i="19"/>
  <c r="F1208" i="19"/>
  <c r="G1208" i="19"/>
  <c r="A1209" i="19"/>
  <c r="B1209" i="19"/>
  <c r="C1209" i="19"/>
  <c r="D1209" i="19"/>
  <c r="E1209" i="19"/>
  <c r="F1209" i="19"/>
  <c r="G1209" i="19"/>
  <c r="A1210" i="19"/>
  <c r="B1210" i="19"/>
  <c r="C1210" i="19"/>
  <c r="D1210" i="19"/>
  <c r="E1210" i="19"/>
  <c r="F1210" i="19"/>
  <c r="G1210" i="19"/>
  <c r="A1211" i="19"/>
  <c r="B1211" i="19"/>
  <c r="C1211" i="19"/>
  <c r="D1211" i="19"/>
  <c r="E1211" i="19"/>
  <c r="F1211" i="19"/>
  <c r="G1211" i="19"/>
  <c r="A1212" i="19"/>
  <c r="B1212" i="19"/>
  <c r="C1212" i="19"/>
  <c r="D1212" i="19"/>
  <c r="E1212" i="19"/>
  <c r="F1212" i="19"/>
  <c r="G1212" i="19"/>
  <c r="A1213" i="19"/>
  <c r="B1213" i="19"/>
  <c r="C1213" i="19"/>
  <c r="D1213" i="19"/>
  <c r="E1213" i="19"/>
  <c r="F1213" i="19"/>
  <c r="G1213" i="19"/>
  <c r="A1214" i="19"/>
  <c r="B1214" i="19"/>
  <c r="C1214" i="19"/>
  <c r="D1214" i="19"/>
  <c r="E1214" i="19"/>
  <c r="F1214" i="19"/>
  <c r="G1214" i="19"/>
  <c r="A1215" i="19"/>
  <c r="B1215" i="19"/>
  <c r="C1215" i="19"/>
  <c r="D1215" i="19"/>
  <c r="E1215" i="19"/>
  <c r="F1215" i="19"/>
  <c r="G1215" i="19"/>
  <c r="A1216" i="19"/>
  <c r="B1216" i="19"/>
  <c r="C1216" i="19"/>
  <c r="D1216" i="19"/>
  <c r="E1216" i="19"/>
  <c r="F1216" i="19"/>
  <c r="G1216" i="19"/>
  <c r="A1217" i="19"/>
  <c r="B1217" i="19"/>
  <c r="C1217" i="19"/>
  <c r="D1217" i="19"/>
  <c r="E1217" i="19"/>
  <c r="F1217" i="19"/>
  <c r="G1217" i="19"/>
  <c r="A1218" i="19"/>
  <c r="B1218" i="19"/>
  <c r="C1218" i="19"/>
  <c r="D1218" i="19"/>
  <c r="E1218" i="19"/>
  <c r="F1218" i="19"/>
  <c r="G1218" i="19"/>
  <c r="A1219" i="19"/>
  <c r="B1219" i="19"/>
  <c r="C1219" i="19"/>
  <c r="D1219" i="19"/>
  <c r="E1219" i="19"/>
  <c r="F1219" i="19"/>
  <c r="G1219" i="19"/>
  <c r="A1220" i="19"/>
  <c r="B1220" i="19"/>
  <c r="C1220" i="19"/>
  <c r="D1220" i="19"/>
  <c r="E1220" i="19"/>
  <c r="F1220" i="19"/>
  <c r="G1220" i="19"/>
  <c r="A1221" i="19"/>
  <c r="B1221" i="19"/>
  <c r="C1221" i="19"/>
  <c r="D1221" i="19"/>
  <c r="E1221" i="19"/>
  <c r="F1221" i="19"/>
  <c r="G1221" i="19"/>
  <c r="A1222" i="19"/>
  <c r="B1222" i="19"/>
  <c r="C1222" i="19"/>
  <c r="D1222" i="19"/>
  <c r="E1222" i="19"/>
  <c r="F1222" i="19"/>
  <c r="G1222" i="19"/>
  <c r="A1223" i="19"/>
  <c r="B1223" i="19"/>
  <c r="C1223" i="19"/>
  <c r="D1223" i="19"/>
  <c r="E1223" i="19"/>
  <c r="F1223" i="19"/>
  <c r="G1223" i="19"/>
  <c r="A1224" i="19"/>
  <c r="B1224" i="19"/>
  <c r="C1224" i="19"/>
  <c r="D1224" i="19"/>
  <c r="E1224" i="19"/>
  <c r="F1224" i="19"/>
  <c r="G1224" i="19"/>
  <c r="A1225" i="19"/>
  <c r="B1225" i="19"/>
  <c r="C1225" i="19"/>
  <c r="D1225" i="19"/>
  <c r="E1225" i="19"/>
  <c r="F1225" i="19"/>
  <c r="G1225" i="19"/>
  <c r="A1226" i="19"/>
  <c r="B1226" i="19"/>
  <c r="C1226" i="19"/>
  <c r="D1226" i="19"/>
  <c r="E1226" i="19"/>
  <c r="F1226" i="19"/>
  <c r="G1226" i="19"/>
  <c r="A1227" i="19"/>
  <c r="B1227" i="19"/>
  <c r="C1227" i="19"/>
  <c r="D1227" i="19"/>
  <c r="E1227" i="19"/>
  <c r="F1227" i="19"/>
  <c r="G1227" i="19"/>
  <c r="A1228" i="19"/>
  <c r="B1228" i="19"/>
  <c r="C1228" i="19"/>
  <c r="D1228" i="19"/>
  <c r="E1228" i="19"/>
  <c r="F1228" i="19"/>
  <c r="G1228" i="19"/>
  <c r="A1229" i="19"/>
  <c r="B1229" i="19"/>
  <c r="C1229" i="19"/>
  <c r="D1229" i="19"/>
  <c r="E1229" i="19"/>
  <c r="F1229" i="19"/>
  <c r="G1229" i="19"/>
  <c r="A1230" i="19"/>
  <c r="B1230" i="19"/>
  <c r="C1230" i="19"/>
  <c r="D1230" i="19"/>
  <c r="E1230" i="19"/>
  <c r="F1230" i="19"/>
  <c r="G1230" i="19"/>
  <c r="A1231" i="19"/>
  <c r="B1231" i="19"/>
  <c r="C1231" i="19"/>
  <c r="D1231" i="19"/>
  <c r="E1231" i="19"/>
  <c r="F1231" i="19"/>
  <c r="G1231" i="19"/>
  <c r="A1232" i="19"/>
  <c r="B1232" i="19"/>
  <c r="C1232" i="19"/>
  <c r="D1232" i="19"/>
  <c r="E1232" i="19"/>
  <c r="F1232" i="19"/>
  <c r="G1232" i="19"/>
  <c r="A1233" i="19"/>
  <c r="B1233" i="19"/>
  <c r="C1233" i="19"/>
  <c r="D1233" i="19"/>
  <c r="E1233" i="19"/>
  <c r="F1233" i="19"/>
  <c r="G1233" i="19"/>
  <c r="A1234" i="19"/>
  <c r="B1234" i="19"/>
  <c r="C1234" i="19"/>
  <c r="D1234" i="19"/>
  <c r="E1234" i="19"/>
  <c r="F1234" i="19"/>
  <c r="G1234" i="19"/>
  <c r="A1235" i="19"/>
  <c r="B1235" i="19"/>
  <c r="C1235" i="19"/>
  <c r="D1235" i="19"/>
  <c r="E1235" i="19"/>
  <c r="F1235" i="19"/>
  <c r="G1235" i="19"/>
  <c r="A1236" i="19"/>
  <c r="B1236" i="19"/>
  <c r="C1236" i="19"/>
  <c r="D1236" i="19"/>
  <c r="E1236" i="19"/>
  <c r="F1236" i="19"/>
  <c r="G1236" i="19"/>
  <c r="A1237" i="19"/>
  <c r="B1237" i="19"/>
  <c r="C1237" i="19"/>
  <c r="D1237" i="19"/>
  <c r="E1237" i="19"/>
  <c r="F1237" i="19"/>
  <c r="G1237" i="19"/>
  <c r="A1238" i="19"/>
  <c r="B1238" i="19"/>
  <c r="C1238" i="19"/>
  <c r="D1238" i="19"/>
  <c r="E1238" i="19"/>
  <c r="F1238" i="19"/>
  <c r="G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B1201" i="19"/>
  <c r="C1201" i="19"/>
  <c r="D1201" i="19"/>
  <c r="E1201" i="19"/>
  <c r="F1201" i="19"/>
  <c r="G1201" i="19"/>
  <c r="A1201" i="19"/>
  <c r="G568" i="50"/>
  <c r="G1262" i="19" s="1"/>
  <c r="G567" i="50"/>
  <c r="G1261" i="19" s="1"/>
  <c r="E1260" i="19"/>
  <c r="E568" i="50"/>
  <c r="E1262" i="19" s="1"/>
  <c r="E517" i="50" l="1"/>
  <c r="E1377" i="19" s="1"/>
  <c r="E483" i="50"/>
  <c r="E1345" i="19" s="1"/>
  <c r="L626" i="50"/>
  <c r="AD9" i="13" s="1"/>
  <c r="G552" i="50"/>
  <c r="G1410" i="19" s="1"/>
  <c r="G550" i="50"/>
  <c r="G1408" i="19" s="1"/>
  <c r="N1239" i="19"/>
  <c r="N1257" i="19"/>
  <c r="N1248" i="19"/>
  <c r="N1205" i="19"/>
  <c r="N1202" i="19"/>
  <c r="N1237" i="19"/>
  <c r="N1230" i="19"/>
  <c r="N1228" i="19"/>
  <c r="N1221" i="19"/>
  <c r="N1219" i="19"/>
  <c r="N1217" i="19"/>
  <c r="N1214" i="19"/>
  <c r="N1211" i="19"/>
  <c r="N1208" i="19"/>
  <c r="O1252" i="19"/>
  <c r="O1243" i="19"/>
  <c r="O1234" i="19"/>
  <c r="O1232" i="19"/>
  <c r="O1225" i="19"/>
  <c r="O1223" i="19"/>
  <c r="O1215" i="19"/>
  <c r="O1212" i="19"/>
  <c r="O1209" i="19"/>
  <c r="O1206" i="19"/>
  <c r="O1203" i="19"/>
  <c r="O1201" i="19"/>
  <c r="O1258" i="19"/>
  <c r="O1257" i="19"/>
  <c r="O1256" i="19"/>
  <c r="O1255" i="19"/>
  <c r="O1254" i="19"/>
  <c r="O1253" i="19"/>
  <c r="O1251" i="19"/>
  <c r="O1250" i="19"/>
  <c r="O1249" i="19"/>
  <c r="O1248" i="19"/>
  <c r="O1247" i="19"/>
  <c r="O1246" i="19"/>
  <c r="O1245" i="19"/>
  <c r="O1244" i="19"/>
  <c r="O1242" i="19"/>
  <c r="O1241" i="19"/>
  <c r="O1240" i="19"/>
  <c r="O1239" i="19"/>
  <c r="O1238" i="19"/>
  <c r="O1237" i="19"/>
  <c r="O1236" i="19"/>
  <c r="O1235" i="19"/>
  <c r="O1233" i="19"/>
  <c r="O1231" i="19"/>
  <c r="O1230" i="19"/>
  <c r="O1229" i="19"/>
  <c r="O1228" i="19"/>
  <c r="O1227" i="19"/>
  <c r="O1226" i="19"/>
  <c r="O1224" i="19"/>
  <c r="O1222" i="19"/>
  <c r="O1221" i="19"/>
  <c r="O1220" i="19"/>
  <c r="O1219" i="19"/>
  <c r="O1218" i="19"/>
  <c r="O1217" i="19"/>
  <c r="O1216" i="19"/>
  <c r="O1214" i="19"/>
  <c r="O1213" i="19"/>
  <c r="O1211" i="19"/>
  <c r="O1210" i="19"/>
  <c r="O1208" i="19"/>
  <c r="O1207" i="19"/>
  <c r="O1205" i="19"/>
  <c r="O1204" i="19"/>
  <c r="O1202" i="19"/>
  <c r="N1201" i="19"/>
  <c r="N1258" i="19"/>
  <c r="N1256" i="19"/>
  <c r="N1255" i="19"/>
  <c r="N1254" i="19"/>
  <c r="N1253" i="19"/>
  <c r="N1252" i="19"/>
  <c r="N1251" i="19"/>
  <c r="N1250" i="19"/>
  <c r="N1249" i="19"/>
  <c r="N1247" i="19"/>
  <c r="N1246" i="19"/>
  <c r="N1245" i="19"/>
  <c r="N1244" i="19"/>
  <c r="N1243" i="19"/>
  <c r="N1242" i="19"/>
  <c r="N1241" i="19"/>
  <c r="N1240" i="19"/>
  <c r="N1238" i="19"/>
  <c r="N1236" i="19"/>
  <c r="N1235" i="19"/>
  <c r="N1234" i="19"/>
  <c r="N1233" i="19"/>
  <c r="N1232" i="19"/>
  <c r="N1231" i="19"/>
  <c r="N1229" i="19"/>
  <c r="N1227" i="19"/>
  <c r="N1226" i="19"/>
  <c r="N1225" i="19"/>
  <c r="N1224" i="19"/>
  <c r="N1223" i="19"/>
  <c r="N1222" i="19"/>
  <c r="N1220" i="19"/>
  <c r="N1218" i="19"/>
  <c r="N1216" i="19"/>
  <c r="N1215" i="19"/>
  <c r="N1213" i="19"/>
  <c r="N1212" i="19"/>
  <c r="N1210" i="19"/>
  <c r="N1209" i="19"/>
  <c r="N1207" i="19"/>
  <c r="N1206" i="19"/>
  <c r="N1204" i="19"/>
  <c r="N1203" i="19"/>
  <c r="E549" i="50"/>
  <c r="E1407" i="19" s="1"/>
  <c r="E505" i="50" l="1"/>
  <c r="E1365" i="19" s="1"/>
  <c r="E550" i="50"/>
  <c r="E1408" i="19" s="1"/>
  <c r="E523" i="50"/>
  <c r="E1381" i="19" s="1"/>
  <c r="E536" i="50"/>
  <c r="E1394" i="19" s="1"/>
  <c r="G523" i="50"/>
  <c r="G1381" i="19" s="1"/>
  <c r="G536" i="50"/>
  <c r="G1394" i="19" s="1"/>
  <c r="G525" i="50"/>
  <c r="G1383" i="19" s="1"/>
  <c r="G538" i="50"/>
  <c r="G1396" i="19" s="1"/>
  <c r="E552" i="50"/>
  <c r="E1410" i="19" s="1"/>
  <c r="E511" i="50" l="1"/>
  <c r="E1371" i="19" s="1"/>
  <c r="E485" i="50"/>
  <c r="E497" i="50"/>
  <c r="E1359" i="19" s="1"/>
  <c r="E489" i="50"/>
  <c r="E1351" i="19" s="1"/>
  <c r="E487" i="50"/>
  <c r="E1349" i="19" s="1"/>
  <c r="E499" i="50"/>
  <c r="E1361" i="19" s="1"/>
  <c r="E501" i="50"/>
  <c r="E1363" i="19" s="1"/>
  <c r="E491" i="50"/>
  <c r="E1353" i="19" s="1"/>
  <c r="E495" i="50"/>
  <c r="E1357" i="19" s="1"/>
  <c r="E493" i="50"/>
  <c r="E1355" i="19" s="1"/>
  <c r="E513" i="50"/>
  <c r="E1373" i="19" s="1"/>
  <c r="E507" i="50"/>
  <c r="E1367" i="19" s="1"/>
  <c r="E506" i="50"/>
  <c r="E1366" i="19" s="1"/>
  <c r="E525" i="50"/>
  <c r="E1383" i="19" s="1"/>
  <c r="E538" i="50"/>
  <c r="E1396" i="19" s="1"/>
  <c r="E512" i="50" l="1"/>
  <c r="E1372" i="19" s="1"/>
  <c r="E548" i="50"/>
  <c r="E1406" i="19" s="1"/>
  <c r="A1144" i="19"/>
  <c r="B1144" i="19"/>
  <c r="C1144" i="19"/>
  <c r="D1144" i="19"/>
  <c r="E1144" i="19"/>
  <c r="F1144" i="19"/>
  <c r="G1144" i="19"/>
  <c r="H1144" i="19"/>
  <c r="I1144" i="19"/>
  <c r="J1144" i="19"/>
  <c r="K1144" i="19"/>
  <c r="L1144" i="19"/>
  <c r="M1144" i="19"/>
  <c r="A1145" i="19"/>
  <c r="B1145" i="19"/>
  <c r="C1145" i="19"/>
  <c r="D1145" i="19"/>
  <c r="E1145" i="19"/>
  <c r="F1145" i="19"/>
  <c r="G1145" i="19"/>
  <c r="H1145" i="19"/>
  <c r="I1145" i="19"/>
  <c r="J1145" i="19"/>
  <c r="K1145" i="19"/>
  <c r="L1145" i="19"/>
  <c r="M1145" i="19"/>
  <c r="A1146" i="19"/>
  <c r="B1146" i="19"/>
  <c r="C1146" i="19"/>
  <c r="D1146" i="19"/>
  <c r="E1146" i="19"/>
  <c r="F1146" i="19"/>
  <c r="G1146" i="19"/>
  <c r="H1146" i="19"/>
  <c r="I1146" i="19"/>
  <c r="J1146" i="19"/>
  <c r="K1146" i="19"/>
  <c r="L1146" i="19"/>
  <c r="M1146" i="19"/>
  <c r="A1147" i="19"/>
  <c r="B1147" i="19"/>
  <c r="C1147" i="19"/>
  <c r="D1147" i="19"/>
  <c r="E1147" i="19"/>
  <c r="F1147" i="19"/>
  <c r="G1147" i="19"/>
  <c r="H1147" i="19"/>
  <c r="I1147" i="19"/>
  <c r="J1147" i="19"/>
  <c r="K1147" i="19"/>
  <c r="L1147" i="19"/>
  <c r="M1147" i="19"/>
  <c r="A1148" i="19"/>
  <c r="B1148" i="19"/>
  <c r="C1148" i="19"/>
  <c r="D1148" i="19"/>
  <c r="E1148" i="19"/>
  <c r="F1148" i="19"/>
  <c r="G1148" i="19"/>
  <c r="H1148" i="19"/>
  <c r="I1148" i="19"/>
  <c r="J1148" i="19"/>
  <c r="K1148" i="19"/>
  <c r="L1148" i="19"/>
  <c r="M1148" i="19"/>
  <c r="A1149" i="19"/>
  <c r="B1149" i="19"/>
  <c r="C1149" i="19"/>
  <c r="D1149" i="19"/>
  <c r="E1149" i="19"/>
  <c r="F1149" i="19"/>
  <c r="G1149" i="19"/>
  <c r="H1149" i="19"/>
  <c r="I1149" i="19"/>
  <c r="J1149" i="19"/>
  <c r="K1149" i="19"/>
  <c r="L1149" i="19"/>
  <c r="M1149" i="19"/>
  <c r="A1150" i="19"/>
  <c r="B1150" i="19"/>
  <c r="C1150" i="19"/>
  <c r="D1150" i="19"/>
  <c r="E1150" i="19"/>
  <c r="F1150" i="19"/>
  <c r="G1150" i="19"/>
  <c r="H1150" i="19"/>
  <c r="I1150" i="19"/>
  <c r="J1150" i="19"/>
  <c r="K1150" i="19"/>
  <c r="L1150" i="19"/>
  <c r="M1150" i="19"/>
  <c r="A1151" i="19"/>
  <c r="B1151" i="19"/>
  <c r="C1151" i="19"/>
  <c r="D1151" i="19"/>
  <c r="E1151" i="19"/>
  <c r="F1151" i="19"/>
  <c r="G1151" i="19"/>
  <c r="H1151" i="19"/>
  <c r="I1151" i="19"/>
  <c r="J1151" i="19"/>
  <c r="K1151" i="19"/>
  <c r="L1151" i="19"/>
  <c r="M1151" i="19"/>
  <c r="A1152" i="19"/>
  <c r="B1152" i="19"/>
  <c r="C1152" i="19"/>
  <c r="D1152" i="19"/>
  <c r="E1152" i="19"/>
  <c r="F1152" i="19"/>
  <c r="G1152" i="19"/>
  <c r="H1152" i="19"/>
  <c r="I1152" i="19"/>
  <c r="J1152" i="19"/>
  <c r="K1152" i="19"/>
  <c r="L1152" i="19"/>
  <c r="M1152" i="19"/>
  <c r="A1153" i="19"/>
  <c r="B1153" i="19"/>
  <c r="C1153" i="19"/>
  <c r="D1153" i="19"/>
  <c r="E1153" i="19"/>
  <c r="F1153" i="19"/>
  <c r="G1153" i="19"/>
  <c r="H1153" i="19"/>
  <c r="I1153" i="19"/>
  <c r="J1153" i="19"/>
  <c r="K1153" i="19"/>
  <c r="L1153" i="19"/>
  <c r="M1153" i="19"/>
  <c r="A1154" i="19"/>
  <c r="B1154" i="19"/>
  <c r="C1154" i="19"/>
  <c r="D1154" i="19"/>
  <c r="E1154" i="19"/>
  <c r="F1154" i="19"/>
  <c r="G1154" i="19"/>
  <c r="H1154" i="19"/>
  <c r="I1154" i="19"/>
  <c r="J1154" i="19"/>
  <c r="K1154" i="19"/>
  <c r="L1154" i="19"/>
  <c r="M1154" i="19"/>
  <c r="A1155" i="19"/>
  <c r="B1155" i="19"/>
  <c r="C1155" i="19"/>
  <c r="D1155" i="19"/>
  <c r="E1155" i="19"/>
  <c r="F1155" i="19"/>
  <c r="G1155" i="19"/>
  <c r="H1155" i="19"/>
  <c r="I1155" i="19"/>
  <c r="J1155" i="19"/>
  <c r="K1155" i="19"/>
  <c r="L1155" i="19"/>
  <c r="M1155" i="19"/>
  <c r="A1156" i="19"/>
  <c r="B1156" i="19"/>
  <c r="C1156" i="19"/>
  <c r="D1156" i="19"/>
  <c r="E1156" i="19"/>
  <c r="F1156" i="19"/>
  <c r="G1156" i="19"/>
  <c r="H1156" i="19"/>
  <c r="I1156" i="19"/>
  <c r="J1156" i="19"/>
  <c r="K1156" i="19"/>
  <c r="L1156" i="19"/>
  <c r="M1156" i="19"/>
  <c r="A1157" i="19"/>
  <c r="B1157" i="19"/>
  <c r="C1157" i="19"/>
  <c r="D1157" i="19"/>
  <c r="E1157" i="19"/>
  <c r="F1157" i="19"/>
  <c r="G1157" i="19"/>
  <c r="H1157" i="19"/>
  <c r="I1157" i="19"/>
  <c r="J1157" i="19"/>
  <c r="K1157" i="19"/>
  <c r="L1157" i="19"/>
  <c r="M1157" i="19"/>
  <c r="A1158" i="19"/>
  <c r="B1158" i="19"/>
  <c r="C1158" i="19"/>
  <c r="D1158" i="19"/>
  <c r="E1158" i="19"/>
  <c r="F1158" i="19"/>
  <c r="G1158" i="19"/>
  <c r="H1158" i="19"/>
  <c r="I1158" i="19"/>
  <c r="J1158" i="19"/>
  <c r="K1158" i="19"/>
  <c r="L1158" i="19"/>
  <c r="M1158" i="19"/>
  <c r="A1159" i="19"/>
  <c r="B1159" i="19"/>
  <c r="C1159" i="19"/>
  <c r="D1159" i="19"/>
  <c r="E1159" i="19"/>
  <c r="F1159" i="19"/>
  <c r="G1159" i="19"/>
  <c r="H1159" i="19"/>
  <c r="I1159" i="19"/>
  <c r="J1159" i="19"/>
  <c r="K1159" i="19"/>
  <c r="L1159" i="19"/>
  <c r="M1159" i="19"/>
  <c r="A1160" i="19"/>
  <c r="B1160" i="19"/>
  <c r="C1160" i="19"/>
  <c r="D1160" i="19"/>
  <c r="E1160" i="19"/>
  <c r="F1160" i="19"/>
  <c r="G1160" i="19"/>
  <c r="H1160" i="19"/>
  <c r="I1160" i="19"/>
  <c r="J1160" i="19"/>
  <c r="K1160" i="19"/>
  <c r="L1160" i="19"/>
  <c r="M1160" i="19"/>
  <c r="A1161" i="19"/>
  <c r="B1161" i="19"/>
  <c r="C1161" i="19"/>
  <c r="D1161" i="19"/>
  <c r="E1161" i="19"/>
  <c r="F1161" i="19"/>
  <c r="G1161" i="19"/>
  <c r="H1161" i="19"/>
  <c r="I1161" i="19"/>
  <c r="J1161" i="19"/>
  <c r="K1161" i="19"/>
  <c r="L1161" i="19"/>
  <c r="M1161" i="19"/>
  <c r="A1162" i="19"/>
  <c r="B1162" i="19"/>
  <c r="C1162" i="19"/>
  <c r="D1162" i="19"/>
  <c r="E1162" i="19"/>
  <c r="F1162" i="19"/>
  <c r="G1162" i="19"/>
  <c r="H1162" i="19"/>
  <c r="I1162" i="19"/>
  <c r="J1162" i="19"/>
  <c r="K1162" i="19"/>
  <c r="L1162" i="19"/>
  <c r="M1162" i="19"/>
  <c r="A1163" i="19"/>
  <c r="B1163" i="19"/>
  <c r="C1163" i="19"/>
  <c r="D1163" i="19"/>
  <c r="E1163" i="19"/>
  <c r="F1163" i="19"/>
  <c r="G1163" i="19"/>
  <c r="H1163" i="19"/>
  <c r="I1163" i="19"/>
  <c r="J1163" i="19"/>
  <c r="K1163" i="19"/>
  <c r="L1163" i="19"/>
  <c r="M1163" i="19"/>
  <c r="A1164" i="19"/>
  <c r="B1164" i="19"/>
  <c r="C1164" i="19"/>
  <c r="D1164" i="19"/>
  <c r="E1164" i="19"/>
  <c r="F1164" i="19"/>
  <c r="G1164" i="19"/>
  <c r="H1164" i="19"/>
  <c r="I1164" i="19"/>
  <c r="J1164" i="19"/>
  <c r="K1164" i="19"/>
  <c r="L1164" i="19"/>
  <c r="M1164" i="19"/>
  <c r="A1165" i="19"/>
  <c r="B1165" i="19"/>
  <c r="C1165" i="19"/>
  <c r="D1165" i="19"/>
  <c r="E1165" i="19"/>
  <c r="F1165" i="19"/>
  <c r="G1165" i="19"/>
  <c r="H1165" i="19"/>
  <c r="I1165" i="19"/>
  <c r="J1165" i="19"/>
  <c r="K1165" i="19"/>
  <c r="L1165" i="19"/>
  <c r="M1165" i="19"/>
  <c r="A1166" i="19"/>
  <c r="B1166" i="19"/>
  <c r="C1166" i="19"/>
  <c r="D1166" i="19"/>
  <c r="E1166" i="19"/>
  <c r="F1166" i="19"/>
  <c r="G1166" i="19"/>
  <c r="H1166" i="19"/>
  <c r="I1166" i="19"/>
  <c r="J1166" i="19"/>
  <c r="K1166" i="19"/>
  <c r="L1166" i="19"/>
  <c r="M1166" i="19"/>
  <c r="A1167" i="19"/>
  <c r="B1167" i="19"/>
  <c r="C1167" i="19"/>
  <c r="D1167" i="19"/>
  <c r="E1167" i="19"/>
  <c r="F1167" i="19"/>
  <c r="G1167" i="19"/>
  <c r="H1167" i="19"/>
  <c r="I1167" i="19"/>
  <c r="J1167" i="19"/>
  <c r="K1167" i="19"/>
  <c r="L1167" i="19"/>
  <c r="M1167" i="19"/>
  <c r="A1168" i="19"/>
  <c r="B1168" i="19"/>
  <c r="C1168" i="19"/>
  <c r="D1168" i="19"/>
  <c r="E1168" i="19"/>
  <c r="F1168" i="19"/>
  <c r="G1168" i="19"/>
  <c r="H1168" i="19"/>
  <c r="I1168" i="19"/>
  <c r="J1168" i="19"/>
  <c r="K1168" i="19"/>
  <c r="L1168" i="19"/>
  <c r="M1168" i="19"/>
  <c r="A1169" i="19"/>
  <c r="B1169" i="19"/>
  <c r="C1169" i="19"/>
  <c r="D1169" i="19"/>
  <c r="E1169" i="19"/>
  <c r="F1169" i="19"/>
  <c r="G1169" i="19"/>
  <c r="H1169" i="19"/>
  <c r="I1169" i="19"/>
  <c r="J1169" i="19"/>
  <c r="K1169" i="19"/>
  <c r="L1169" i="19"/>
  <c r="M1169" i="19"/>
  <c r="A1170" i="19"/>
  <c r="B1170" i="19"/>
  <c r="C1170" i="19"/>
  <c r="D1170" i="19"/>
  <c r="E1170" i="19"/>
  <c r="F1170" i="19"/>
  <c r="G1170" i="19"/>
  <c r="H1170" i="19"/>
  <c r="I1170" i="19"/>
  <c r="J1170" i="19"/>
  <c r="K1170" i="19"/>
  <c r="L1170" i="19"/>
  <c r="M1170" i="19"/>
  <c r="A1171" i="19"/>
  <c r="B1171" i="19"/>
  <c r="C1171" i="19"/>
  <c r="D1171" i="19"/>
  <c r="E1171" i="19"/>
  <c r="F1171" i="19"/>
  <c r="G1171" i="19"/>
  <c r="H1171" i="19"/>
  <c r="I1171" i="19"/>
  <c r="J1171" i="19"/>
  <c r="K1171" i="19"/>
  <c r="L1171" i="19"/>
  <c r="M1171" i="19"/>
  <c r="A1172" i="19"/>
  <c r="B1172" i="19"/>
  <c r="C1172" i="19"/>
  <c r="D1172" i="19"/>
  <c r="E1172" i="19"/>
  <c r="F1172" i="19"/>
  <c r="G1172" i="19"/>
  <c r="H1172" i="19"/>
  <c r="I1172" i="19"/>
  <c r="J1172" i="19"/>
  <c r="K1172" i="19"/>
  <c r="L1172" i="19"/>
  <c r="M1172" i="19"/>
  <c r="A1173" i="19"/>
  <c r="B1173" i="19"/>
  <c r="C1173" i="19"/>
  <c r="D1173" i="19"/>
  <c r="E1173" i="19"/>
  <c r="F1173" i="19"/>
  <c r="G1173" i="19"/>
  <c r="H1173" i="19"/>
  <c r="I1173" i="19"/>
  <c r="J1173" i="19"/>
  <c r="K1173" i="19"/>
  <c r="L1173" i="19"/>
  <c r="M1173" i="19"/>
  <c r="A1174" i="19"/>
  <c r="B1174" i="19"/>
  <c r="C1174" i="19"/>
  <c r="D1174" i="19"/>
  <c r="E1174" i="19"/>
  <c r="F1174" i="19"/>
  <c r="G1174" i="19"/>
  <c r="H1174" i="19"/>
  <c r="I1174" i="19"/>
  <c r="J1174" i="19"/>
  <c r="K1174" i="19"/>
  <c r="L1174" i="19"/>
  <c r="M1174" i="19"/>
  <c r="A1175" i="19"/>
  <c r="C1175" i="19"/>
  <c r="D1175" i="19"/>
  <c r="E1175" i="19"/>
  <c r="F1175" i="19"/>
  <c r="G1175" i="19"/>
  <c r="H1175" i="19"/>
  <c r="I1175" i="19"/>
  <c r="J1175" i="19"/>
  <c r="K1175" i="19"/>
  <c r="L1175" i="19"/>
  <c r="M1175" i="19"/>
  <c r="A1176" i="19"/>
  <c r="C1176" i="19"/>
  <c r="D1176" i="19"/>
  <c r="E1176" i="19"/>
  <c r="F1176" i="19"/>
  <c r="G1176" i="19"/>
  <c r="H1176" i="19"/>
  <c r="I1176" i="19"/>
  <c r="J1176" i="19"/>
  <c r="K1176" i="19"/>
  <c r="L1176" i="19"/>
  <c r="M1176" i="19"/>
  <c r="A1177" i="19"/>
  <c r="C1177" i="19"/>
  <c r="D1177" i="19"/>
  <c r="E1177" i="19"/>
  <c r="F1177" i="19"/>
  <c r="G1177" i="19"/>
  <c r="H1177" i="19"/>
  <c r="I1177" i="19"/>
  <c r="J1177" i="19"/>
  <c r="K1177" i="19"/>
  <c r="L1177" i="19"/>
  <c r="M1177" i="19"/>
  <c r="A1178" i="19"/>
  <c r="B1178" i="19"/>
  <c r="C1178" i="19"/>
  <c r="D1178" i="19"/>
  <c r="E1178" i="19"/>
  <c r="F1178" i="19"/>
  <c r="G1178" i="19"/>
  <c r="H1178" i="19"/>
  <c r="I1178" i="19"/>
  <c r="J1178" i="19"/>
  <c r="K1178" i="19"/>
  <c r="L1178" i="19"/>
  <c r="M1178" i="19"/>
  <c r="A1179" i="19"/>
  <c r="B1179" i="19"/>
  <c r="C1179" i="19"/>
  <c r="D1179" i="19"/>
  <c r="E1179" i="19"/>
  <c r="F1179" i="19"/>
  <c r="G1179" i="19"/>
  <c r="H1179" i="19"/>
  <c r="I1179" i="19"/>
  <c r="J1179" i="19"/>
  <c r="K1179" i="19"/>
  <c r="L1179" i="19"/>
  <c r="M1179" i="19"/>
  <c r="A1180" i="19"/>
  <c r="B1180" i="19"/>
  <c r="C1180" i="19"/>
  <c r="D1180" i="19"/>
  <c r="E1180" i="19"/>
  <c r="F1180" i="19"/>
  <c r="G1180" i="19"/>
  <c r="H1180" i="19"/>
  <c r="I1180" i="19"/>
  <c r="J1180" i="19"/>
  <c r="K1180" i="19"/>
  <c r="L1180" i="19"/>
  <c r="M1180" i="19"/>
  <c r="A1181" i="19"/>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I1143" i="19"/>
  <c r="J1143" i="19"/>
  <c r="K1143" i="19"/>
  <c r="L1143" i="19"/>
  <c r="M1143" i="19"/>
  <c r="H1143" i="19"/>
  <c r="G1143" i="19"/>
  <c r="F1143" i="19"/>
  <c r="E1143" i="19"/>
  <c r="D1143" i="19"/>
  <c r="C1143" i="19"/>
  <c r="B1143" i="19"/>
  <c r="A1143"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1" i="50" l="1"/>
  <c r="L21" i="50" s="1"/>
  <c r="D897" i="20" s="1"/>
  <c r="G275" i="50"/>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K812" i="20"/>
  <c r="O1143" i="19"/>
  <c r="N1200" i="19"/>
  <c r="O1199" i="19"/>
  <c r="N1197" i="19"/>
  <c r="O1196" i="19"/>
  <c r="N1194" i="19"/>
  <c r="O1193" i="19"/>
  <c r="N1191" i="19"/>
  <c r="O1190" i="19"/>
  <c r="N1188" i="19"/>
  <c r="O1187" i="19"/>
  <c r="N1185" i="19"/>
  <c r="O1184" i="19"/>
  <c r="N1182" i="19"/>
  <c r="O1181" i="19"/>
  <c r="N1179" i="19"/>
  <c r="O1178" i="19"/>
  <c r="N1176" i="19"/>
  <c r="O1175" i="19"/>
  <c r="N1173" i="19"/>
  <c r="O1172" i="19"/>
  <c r="N1170" i="19"/>
  <c r="O1169" i="19"/>
  <c r="N1167" i="19"/>
  <c r="O1166" i="19"/>
  <c r="N1164" i="19"/>
  <c r="O1163" i="19"/>
  <c r="N1161" i="19"/>
  <c r="O1160" i="19"/>
  <c r="N1158" i="19"/>
  <c r="O1157" i="19"/>
  <c r="N1155" i="19"/>
  <c r="O1154" i="19"/>
  <c r="N1152" i="19"/>
  <c r="O1151" i="19"/>
  <c r="N1149" i="19"/>
  <c r="O1148" i="19"/>
  <c r="N1146" i="19"/>
  <c r="O1145" i="19"/>
  <c r="N1143" i="19"/>
  <c r="N1199" i="19"/>
  <c r="O1198" i="19"/>
  <c r="N1196" i="19"/>
  <c r="O1195" i="19"/>
  <c r="N1193" i="19"/>
  <c r="O1192" i="19"/>
  <c r="N1190" i="19"/>
  <c r="O1189" i="19"/>
  <c r="N1187" i="19"/>
  <c r="O1186" i="19"/>
  <c r="N1184" i="19"/>
  <c r="O1183" i="19"/>
  <c r="N1181" i="19"/>
  <c r="O1180" i="19"/>
  <c r="N1178" i="19"/>
  <c r="O1177" i="19"/>
  <c r="N1175" i="19"/>
  <c r="O1174" i="19"/>
  <c r="N1172" i="19"/>
  <c r="O1171" i="19"/>
  <c r="N1169" i="19"/>
  <c r="O1168" i="19"/>
  <c r="N1166" i="19"/>
  <c r="O1165" i="19"/>
  <c r="N1163" i="19"/>
  <c r="O1162" i="19"/>
  <c r="N1160" i="19"/>
  <c r="O1159" i="19"/>
  <c r="N1157" i="19"/>
  <c r="O1156" i="19"/>
  <c r="N1154" i="19"/>
  <c r="O1153" i="19"/>
  <c r="N1151" i="19"/>
  <c r="O1150" i="19"/>
  <c r="N1148" i="19"/>
  <c r="O1147" i="19"/>
  <c r="N1145" i="19"/>
  <c r="O1144" i="19"/>
  <c r="O1200" i="19"/>
  <c r="N1198" i="19"/>
  <c r="O1197" i="19"/>
  <c r="N1195" i="19"/>
  <c r="O1194" i="19"/>
  <c r="N1192" i="19"/>
  <c r="O1191" i="19"/>
  <c r="N1189" i="19"/>
  <c r="O1188" i="19"/>
  <c r="N1186" i="19"/>
  <c r="O1185" i="19"/>
  <c r="N1183" i="19"/>
  <c r="O1182" i="19"/>
  <c r="N1180" i="19"/>
  <c r="O1179" i="19"/>
  <c r="N1177" i="19"/>
  <c r="O1176" i="19"/>
  <c r="N1174" i="19"/>
  <c r="O1173" i="19"/>
  <c r="N1171" i="19"/>
  <c r="O1170" i="19"/>
  <c r="N1168" i="19"/>
  <c r="O1167" i="19"/>
  <c r="N1165" i="19"/>
  <c r="O1164" i="19"/>
  <c r="N1162" i="19"/>
  <c r="O1161" i="19"/>
  <c r="N1159" i="19"/>
  <c r="O1158" i="19"/>
  <c r="N1156" i="19"/>
  <c r="O1155" i="19"/>
  <c r="N1153" i="19"/>
  <c r="O1152" i="19"/>
  <c r="N1150" i="19"/>
  <c r="O1149" i="19"/>
  <c r="N1147" i="19"/>
  <c r="O1146" i="19"/>
  <c r="N1144"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868" i="19"/>
  <c r="E866" i="19"/>
  <c r="E397" i="46"/>
  <c r="E399" i="46"/>
  <c r="O947" i="19"/>
  <c r="N947" i="19"/>
  <c r="O928" i="19"/>
  <c r="N928" i="19"/>
  <c r="O909" i="19"/>
  <c r="N909" i="19"/>
  <c r="N877" i="19"/>
  <c r="O877" i="19"/>
  <c r="O878" i="19"/>
  <c r="N879" i="19"/>
  <c r="O879" i="19"/>
  <c r="N880" i="19"/>
  <c r="O880" i="19"/>
  <c r="N881" i="19"/>
  <c r="O881" i="19"/>
  <c r="N882" i="19"/>
  <c r="O882" i="19"/>
  <c r="N883" i="19"/>
  <c r="O883" i="19"/>
  <c r="N884" i="19"/>
  <c r="O884" i="19"/>
  <c r="N885" i="19"/>
  <c r="O885" i="19"/>
  <c r="N886" i="19"/>
  <c r="O886" i="19"/>
  <c r="N887" i="19"/>
  <c r="O887" i="19"/>
  <c r="N888" i="19"/>
  <c r="O888" i="19"/>
  <c r="N889" i="19"/>
  <c r="O889" i="19"/>
  <c r="N890" i="19"/>
  <c r="O890" i="19"/>
  <c r="N891" i="19"/>
  <c r="O891" i="19"/>
  <c r="N892" i="19"/>
  <c r="O892" i="19"/>
  <c r="N893" i="19"/>
  <c r="O893" i="19"/>
  <c r="N894" i="19"/>
  <c r="O894" i="19"/>
  <c r="N895" i="19"/>
  <c r="O895" i="19"/>
  <c r="N896" i="19"/>
  <c r="O896" i="19"/>
  <c r="N897" i="19"/>
  <c r="O897" i="19"/>
  <c r="N898" i="19"/>
  <c r="O898" i="19"/>
  <c r="N899" i="19"/>
  <c r="O899" i="19"/>
  <c r="N900" i="19"/>
  <c r="O900" i="19"/>
  <c r="E901" i="19"/>
  <c r="N901" i="19"/>
  <c r="O901" i="19"/>
  <c r="E902" i="19"/>
  <c r="N902" i="19"/>
  <c r="O902" i="19"/>
  <c r="N903" i="19"/>
  <c r="O903" i="19"/>
  <c r="N904" i="19"/>
  <c r="O904" i="19"/>
  <c r="N905" i="19"/>
  <c r="O905" i="19"/>
  <c r="N906" i="19"/>
  <c r="O906" i="19"/>
  <c r="N907" i="19"/>
  <c r="O907" i="19"/>
  <c r="N908" i="19"/>
  <c r="O908" i="19"/>
  <c r="E910" i="19"/>
  <c r="N910" i="19"/>
  <c r="O910" i="19"/>
  <c r="N911" i="19"/>
  <c r="O911" i="19"/>
  <c r="N912" i="19"/>
  <c r="O912" i="19"/>
  <c r="N913" i="19"/>
  <c r="O913" i="19"/>
  <c r="N914" i="19"/>
  <c r="O914" i="19"/>
  <c r="N915" i="19"/>
  <c r="O915" i="19"/>
  <c r="N916" i="19"/>
  <c r="O916" i="19"/>
  <c r="N917" i="19"/>
  <c r="O917" i="19"/>
  <c r="N918" i="19"/>
  <c r="O918" i="19"/>
  <c r="N919" i="19"/>
  <c r="O919" i="19"/>
  <c r="E920" i="19"/>
  <c r="N920" i="19"/>
  <c r="O920" i="19"/>
  <c r="E921" i="19"/>
  <c r="N921" i="19"/>
  <c r="O921" i="19"/>
  <c r="N922" i="19"/>
  <c r="O922" i="19"/>
  <c r="N923" i="19"/>
  <c r="O923" i="19"/>
  <c r="N924" i="19"/>
  <c r="O924" i="19"/>
  <c r="N925" i="19"/>
  <c r="O925" i="19"/>
  <c r="N926" i="19"/>
  <c r="O926" i="19"/>
  <c r="N927" i="19"/>
  <c r="O927" i="19"/>
  <c r="E929" i="19"/>
  <c r="N929" i="19"/>
  <c r="O929" i="19"/>
  <c r="N930" i="19"/>
  <c r="O930" i="19"/>
  <c r="N931" i="19"/>
  <c r="O931" i="19"/>
  <c r="N932" i="19"/>
  <c r="O932" i="19"/>
  <c r="N933" i="19"/>
  <c r="O933" i="19"/>
  <c r="N934" i="19"/>
  <c r="O934" i="19"/>
  <c r="N935" i="19"/>
  <c r="O935" i="19"/>
  <c r="N936" i="19"/>
  <c r="O936" i="19"/>
  <c r="N937" i="19"/>
  <c r="O937" i="19"/>
  <c r="N938" i="19"/>
  <c r="O938" i="19"/>
  <c r="E939" i="19"/>
  <c r="N939" i="19"/>
  <c r="O939" i="19"/>
  <c r="E940" i="19"/>
  <c r="N940" i="19"/>
  <c r="O940" i="19"/>
  <c r="N941" i="19"/>
  <c r="O941" i="19"/>
  <c r="N942" i="19"/>
  <c r="O942" i="19"/>
  <c r="N943" i="19"/>
  <c r="O943" i="19"/>
  <c r="N944" i="19"/>
  <c r="O944" i="19"/>
  <c r="N945" i="19"/>
  <c r="O945" i="19"/>
  <c r="N946" i="19"/>
  <c r="O946" i="19"/>
  <c r="E948" i="19"/>
  <c r="N948" i="19"/>
  <c r="O948" i="19"/>
  <c r="N949" i="19"/>
  <c r="O949" i="19"/>
  <c r="N950" i="19"/>
  <c r="O950" i="19"/>
  <c r="N951" i="19"/>
  <c r="O951" i="19"/>
  <c r="N952" i="19"/>
  <c r="O952" i="19"/>
  <c r="N953" i="19"/>
  <c r="O953" i="19"/>
  <c r="N954" i="19"/>
  <c r="O954" i="19"/>
  <c r="N955" i="19"/>
  <c r="O955" i="19"/>
  <c r="N956" i="19"/>
  <c r="O956" i="19"/>
  <c r="N957" i="19"/>
  <c r="O957" i="19"/>
  <c r="E958" i="19"/>
  <c r="N958" i="19"/>
  <c r="O958" i="19"/>
  <c r="E959" i="19"/>
  <c r="N959" i="19"/>
  <c r="O959" i="19"/>
  <c r="N960" i="19"/>
  <c r="O960" i="19"/>
  <c r="N961" i="19"/>
  <c r="O961" i="19"/>
  <c r="N962" i="19"/>
  <c r="O962" i="19"/>
  <c r="N963" i="19"/>
  <c r="O963" i="19"/>
  <c r="N964" i="19"/>
  <c r="O964" i="19"/>
  <c r="N965" i="19"/>
  <c r="O965" i="19"/>
  <c r="E967" i="19"/>
  <c r="N967" i="19"/>
  <c r="O967" i="19"/>
  <c r="N968" i="19"/>
  <c r="O968" i="19"/>
  <c r="N969" i="19"/>
  <c r="O969" i="19"/>
  <c r="N970" i="19"/>
  <c r="O970" i="19"/>
  <c r="N971" i="19"/>
  <c r="O971" i="19"/>
  <c r="N972" i="19"/>
  <c r="O972" i="19"/>
  <c r="N973" i="19"/>
  <c r="O973" i="19"/>
  <c r="N974" i="19"/>
  <c r="O974" i="19"/>
  <c r="N975" i="19"/>
  <c r="O975" i="19"/>
  <c r="N976" i="19"/>
  <c r="O976" i="19"/>
  <c r="E977" i="19"/>
  <c r="N977" i="19"/>
  <c r="O977" i="19"/>
  <c r="E978" i="19"/>
  <c r="N978" i="19"/>
  <c r="O978" i="19"/>
  <c r="N979" i="19"/>
  <c r="O979" i="19"/>
  <c r="N980" i="19"/>
  <c r="O980" i="19"/>
  <c r="N981" i="19"/>
  <c r="O981" i="19"/>
  <c r="N982" i="19"/>
  <c r="O982" i="19"/>
  <c r="N983" i="19"/>
  <c r="O983" i="19"/>
  <c r="N984" i="19"/>
  <c r="O984" i="19"/>
  <c r="E986" i="19"/>
  <c r="N986" i="19"/>
  <c r="O986" i="19"/>
  <c r="N987" i="19"/>
  <c r="O987" i="19"/>
  <c r="N988" i="19"/>
  <c r="O988" i="19"/>
  <c r="N989" i="19"/>
  <c r="O989" i="19"/>
  <c r="N990" i="19"/>
  <c r="O990" i="19"/>
  <c r="N991" i="19"/>
  <c r="O991" i="19"/>
  <c r="N992" i="19"/>
  <c r="O992" i="19"/>
  <c r="N993" i="19"/>
  <c r="O993" i="19"/>
  <c r="N994" i="19"/>
  <c r="O994" i="19"/>
  <c r="N995" i="19"/>
  <c r="O995" i="19"/>
  <c r="E996" i="19"/>
  <c r="N996" i="19"/>
  <c r="O996" i="19"/>
  <c r="E997" i="19"/>
  <c r="N997" i="19"/>
  <c r="O997" i="19"/>
  <c r="N998" i="19"/>
  <c r="O998" i="19"/>
  <c r="N999" i="19"/>
  <c r="O999" i="19"/>
  <c r="N1000" i="19"/>
  <c r="O1000" i="19"/>
  <c r="N1001" i="19"/>
  <c r="O1001" i="19"/>
  <c r="N1002" i="19"/>
  <c r="O1002" i="19"/>
  <c r="N1003" i="19"/>
  <c r="O1003" i="19"/>
  <c r="E1005" i="19"/>
  <c r="N1005" i="19"/>
  <c r="O1005" i="19"/>
  <c r="N1006" i="19"/>
  <c r="O1006" i="19"/>
  <c r="N1007" i="19"/>
  <c r="O1007" i="19"/>
  <c r="N1008" i="19"/>
  <c r="O1008" i="19"/>
  <c r="N1009" i="19"/>
  <c r="O1009" i="19"/>
  <c r="N1010" i="19"/>
  <c r="O1010" i="19"/>
  <c r="N1011" i="19"/>
  <c r="O1011" i="19"/>
  <c r="N1012" i="19"/>
  <c r="O1012" i="19"/>
  <c r="N1013" i="19"/>
  <c r="O1013" i="19"/>
  <c r="N1014" i="19"/>
  <c r="O1014" i="19"/>
  <c r="E1015" i="19"/>
  <c r="N1015" i="19"/>
  <c r="O1015" i="19"/>
  <c r="E1016" i="19"/>
  <c r="N1016" i="19"/>
  <c r="O1016" i="19"/>
  <c r="N1017" i="19"/>
  <c r="O1017" i="19"/>
  <c r="N1018" i="19"/>
  <c r="O1018" i="19"/>
  <c r="N1019" i="19"/>
  <c r="O1019" i="19"/>
  <c r="N1020" i="19"/>
  <c r="O1020" i="19"/>
  <c r="N1021" i="19"/>
  <c r="O1021" i="19"/>
  <c r="N1022" i="19"/>
  <c r="O1022" i="19"/>
  <c r="E1024" i="19"/>
  <c r="N1024" i="19"/>
  <c r="O1024" i="19"/>
  <c r="N1025" i="19"/>
  <c r="O1025" i="19"/>
  <c r="N1026" i="19"/>
  <c r="O1026" i="19"/>
  <c r="N1027" i="19"/>
  <c r="O1027" i="19"/>
  <c r="N1028" i="19"/>
  <c r="O1028" i="19"/>
  <c r="N1029" i="19"/>
  <c r="O1029" i="19"/>
  <c r="N1030" i="19"/>
  <c r="O1030" i="19"/>
  <c r="N1031" i="19"/>
  <c r="O1031" i="19"/>
  <c r="N1032" i="19"/>
  <c r="O1032" i="19"/>
  <c r="N1033" i="19"/>
  <c r="O1033" i="19"/>
  <c r="E1034" i="19"/>
  <c r="N1034" i="19"/>
  <c r="O1034" i="19"/>
  <c r="E1035" i="19"/>
  <c r="N1035" i="19"/>
  <c r="O1035" i="19"/>
  <c r="N1036" i="19"/>
  <c r="O1036" i="19"/>
  <c r="N1037" i="19"/>
  <c r="O1037" i="19"/>
  <c r="N1038" i="19"/>
  <c r="O1038" i="19"/>
  <c r="N1039" i="19"/>
  <c r="O1039" i="19"/>
  <c r="N1040" i="19"/>
  <c r="O1040" i="19"/>
  <c r="N1041" i="19"/>
  <c r="O1041" i="19"/>
  <c r="E1043" i="19"/>
  <c r="N1043" i="19"/>
  <c r="O1043" i="19"/>
  <c r="N1044" i="19"/>
  <c r="O1044" i="19"/>
  <c r="N1045" i="19"/>
  <c r="O1045" i="19"/>
  <c r="N1046" i="19"/>
  <c r="O1046" i="19"/>
  <c r="N1047" i="19"/>
  <c r="O1047" i="19"/>
  <c r="N1048" i="19"/>
  <c r="O1048" i="19"/>
  <c r="N1049" i="19"/>
  <c r="O1049" i="19"/>
  <c r="N1050" i="19"/>
  <c r="O1050" i="19"/>
  <c r="N1051" i="19"/>
  <c r="O1051" i="19"/>
  <c r="N1052" i="19"/>
  <c r="O1052" i="19"/>
  <c r="E1053" i="19"/>
  <c r="N1053" i="19"/>
  <c r="O1053" i="19"/>
  <c r="E1054" i="19"/>
  <c r="N1054" i="19"/>
  <c r="O1054" i="19"/>
  <c r="N1055" i="19"/>
  <c r="O1055" i="19"/>
  <c r="N1056" i="19"/>
  <c r="O1056" i="19"/>
  <c r="N1057" i="19"/>
  <c r="O1057" i="19"/>
  <c r="N1058" i="19"/>
  <c r="O1058" i="19"/>
  <c r="N1059" i="19"/>
  <c r="O1059" i="19"/>
  <c r="N1060" i="19"/>
  <c r="O1060" i="19"/>
  <c r="E1062" i="19"/>
  <c r="N1062" i="19"/>
  <c r="O1062" i="19"/>
  <c r="N1063" i="19"/>
  <c r="O1063" i="19"/>
  <c r="N1064" i="19"/>
  <c r="O1064" i="19"/>
  <c r="N1065" i="19"/>
  <c r="O1065" i="19"/>
  <c r="N1066" i="19"/>
  <c r="O1066" i="19"/>
  <c r="N1067" i="19"/>
  <c r="O1067" i="19"/>
  <c r="N1068" i="19"/>
  <c r="O1068" i="19"/>
  <c r="N1069" i="19"/>
  <c r="O1069" i="19"/>
  <c r="N1070" i="19"/>
  <c r="O1070" i="19"/>
  <c r="N1071" i="19"/>
  <c r="O1071" i="19"/>
  <c r="N1072" i="19"/>
  <c r="O1072" i="19"/>
  <c r="N1073" i="19"/>
  <c r="O1073" i="19"/>
  <c r="N1074" i="19"/>
  <c r="O1074" i="19"/>
  <c r="N1075" i="19"/>
  <c r="O1075" i="19"/>
  <c r="N1076" i="19"/>
  <c r="O1076" i="19"/>
  <c r="N1077" i="19"/>
  <c r="O1077" i="19"/>
  <c r="N1078" i="19"/>
  <c r="O1078" i="19"/>
  <c r="N1079" i="19"/>
  <c r="O1079" i="19"/>
  <c r="N1081" i="19"/>
  <c r="O1081" i="19"/>
  <c r="E1082" i="19"/>
  <c r="N1082" i="19"/>
  <c r="O1082" i="19"/>
  <c r="E1083" i="19"/>
  <c r="N1083" i="19"/>
  <c r="O1083" i="19"/>
  <c r="N1084" i="19"/>
  <c r="O1084" i="19"/>
  <c r="N1085" i="19"/>
  <c r="O1085" i="19"/>
  <c r="N1086" i="19"/>
  <c r="O1086" i="19"/>
  <c r="N1087" i="19"/>
  <c r="O1087" i="19"/>
  <c r="N1088" i="19"/>
  <c r="O1088" i="19"/>
  <c r="N1089" i="19"/>
  <c r="O1089" i="19"/>
  <c r="N1090" i="19"/>
  <c r="O1090" i="19"/>
  <c r="N1091" i="19"/>
  <c r="O1091" i="19"/>
  <c r="N1092" i="19"/>
  <c r="O1092" i="19"/>
  <c r="N1093" i="19"/>
  <c r="O1093" i="19"/>
  <c r="N1094" i="19"/>
  <c r="O1094" i="19"/>
  <c r="N1095" i="19"/>
  <c r="O1095" i="19"/>
  <c r="N1096" i="19"/>
  <c r="O1096" i="19"/>
  <c r="N1097" i="19"/>
  <c r="O1097" i="19"/>
  <c r="N1098" i="19"/>
  <c r="O1098" i="19"/>
  <c r="N1099" i="19"/>
  <c r="O1099" i="19"/>
  <c r="N1100" i="19"/>
  <c r="O1100" i="19"/>
  <c r="N1101" i="19"/>
  <c r="O1101" i="19"/>
  <c r="E1103"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N1117" i="19"/>
  <c r="O1117" i="19"/>
  <c r="N1118" i="19"/>
  <c r="O1118" i="19"/>
  <c r="N1119" i="19"/>
  <c r="O1119" i="19"/>
  <c r="N1120" i="19"/>
  <c r="O1120" i="19"/>
  <c r="E1122" i="19"/>
  <c r="N1122" i="19"/>
  <c r="O1122" i="19"/>
  <c r="N1123" i="19"/>
  <c r="O1123" i="19"/>
  <c r="N1124" i="19"/>
  <c r="O1124" i="19"/>
  <c r="N1125" i="19"/>
  <c r="O1125" i="19"/>
  <c r="N1126" i="19"/>
  <c r="O1126" i="19"/>
  <c r="N1127" i="19"/>
  <c r="O1127" i="19"/>
  <c r="N1128" i="19"/>
  <c r="O1128" i="19"/>
  <c r="N1129" i="19"/>
  <c r="O1129" i="19"/>
  <c r="N1130" i="19"/>
  <c r="O1130" i="19"/>
  <c r="N1131" i="19"/>
  <c r="O1131" i="19"/>
  <c r="E747" i="19"/>
  <c r="E718" i="19"/>
  <c r="E714" i="19"/>
  <c r="E715" i="19"/>
  <c r="E280" i="19"/>
  <c r="E281" i="19"/>
  <c r="E277" i="19"/>
  <c r="E278" i="19"/>
  <c r="E859" i="19"/>
  <c r="E860" i="19"/>
  <c r="E861" i="19"/>
  <c r="E862" i="19"/>
  <c r="E863" i="19"/>
  <c r="E864" i="19"/>
  <c r="E10" i="37"/>
  <c r="E11" i="37"/>
  <c r="E12" i="37"/>
  <c r="E13" i="37"/>
  <c r="E8" i="37"/>
  <c r="E9" i="37"/>
  <c r="E15" i="37"/>
  <c r="E16" i="37"/>
  <c r="E17" i="37"/>
  <c r="E18" i="37"/>
  <c r="E6" i="37"/>
  <c r="E5" i="37"/>
  <c r="E4" i="37"/>
  <c r="E3" i="37"/>
  <c r="N20" i="37"/>
  <c r="O20" i="37"/>
  <c r="N21" i="37"/>
  <c r="O21" i="37"/>
  <c r="N865" i="19"/>
  <c r="O865" i="19"/>
  <c r="N866" i="19"/>
  <c r="O866" i="19"/>
  <c r="N867" i="19"/>
  <c r="O867" i="19"/>
  <c r="N868" i="19"/>
  <c r="O868" i="19"/>
  <c r="N869" i="19"/>
  <c r="O869" i="19"/>
  <c r="N870" i="19"/>
  <c r="O870" i="19"/>
  <c r="N871" i="19"/>
  <c r="O871" i="19"/>
  <c r="N872" i="19"/>
  <c r="O872" i="19"/>
  <c r="N873" i="19"/>
  <c r="O873" i="19"/>
  <c r="N874" i="19"/>
  <c r="O874" i="19"/>
  <c r="N875" i="19"/>
  <c r="O875" i="19"/>
  <c r="N876" i="19"/>
  <c r="O876"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59" i="19"/>
  <c r="N860" i="19"/>
  <c r="N861" i="19"/>
  <c r="N862" i="19"/>
  <c r="N863" i="19"/>
  <c r="N864" i="19"/>
  <c r="N858" i="19"/>
  <c r="O858"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1305" i="19" s="1"/>
  <c r="N182" i="50"/>
  <c r="E1310"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1308" i="19" s="1"/>
  <c r="M180" i="50"/>
  <c r="E1303" i="19" s="1"/>
  <c r="N127" i="50"/>
  <c r="M127" i="50"/>
  <c r="N154" i="50"/>
  <c r="M154" i="50"/>
  <c r="N181" i="50"/>
  <c r="E1309" i="19" s="1"/>
  <c r="M181" i="50"/>
  <c r="E1304"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1311" i="19" s="1"/>
  <c r="M183" i="50"/>
  <c r="E1306"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1312" i="19" s="1"/>
  <c r="M184" i="50"/>
  <c r="E1307"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26" i="19"/>
  <c r="N826" i="19"/>
  <c r="O684" i="19"/>
  <c r="N684" i="19"/>
  <c r="N297" i="19"/>
  <c r="O297" i="19"/>
  <c r="N298" i="19"/>
  <c r="O298" i="19"/>
  <c r="N299" i="19"/>
  <c r="O299" i="19"/>
  <c r="N300" i="19"/>
  <c r="O300" i="19"/>
  <c r="N301" i="19"/>
  <c r="O301" i="19"/>
  <c r="N302" i="19"/>
  <c r="O302" i="19"/>
  <c r="N303" i="19"/>
  <c r="O303" i="19"/>
  <c r="N402" i="19"/>
  <c r="O402" i="19"/>
  <c r="N681" i="19"/>
  <c r="O681" i="19"/>
  <c r="N682" i="19"/>
  <c r="O682" i="19"/>
  <c r="N683" i="19"/>
  <c r="O683" i="19"/>
  <c r="N685" i="19"/>
  <c r="O685" i="19"/>
  <c r="N700" i="19"/>
  <c r="O700" i="19"/>
  <c r="N712" i="19"/>
  <c r="O712" i="19"/>
  <c r="N716" i="19"/>
  <c r="O716" i="19"/>
  <c r="N746" i="19"/>
  <c r="O746" i="19"/>
  <c r="N778" i="19"/>
  <c r="O778" i="19"/>
  <c r="N779" i="19"/>
  <c r="O779" i="19"/>
  <c r="N781" i="19"/>
  <c r="O781" i="19"/>
  <c r="N782" i="19"/>
  <c r="O782" i="19"/>
  <c r="N783" i="19"/>
  <c r="O783" i="19"/>
  <c r="N784" i="19"/>
  <c r="O784" i="19"/>
  <c r="N825" i="19"/>
  <c r="O825" i="19"/>
  <c r="N827" i="19"/>
  <c r="O827" i="19"/>
  <c r="N847" i="19"/>
  <c r="O847"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775" i="19"/>
  <c r="O775"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32" i="19" l="1"/>
  <c r="N632" i="19"/>
  <c r="O631" i="19"/>
  <c r="N631" i="19"/>
  <c r="O79" i="44"/>
  <c r="O75" i="44"/>
  <c r="O493" i="19" l="1"/>
  <c r="N493"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393" i="19"/>
  <c r="O436" i="19"/>
  <c r="O441" i="19"/>
  <c r="O440" i="19"/>
  <c r="O179" i="19"/>
  <c r="O244" i="19"/>
  <c r="O461" i="19"/>
  <c r="O460" i="19"/>
  <c r="N393" i="19"/>
  <c r="N436" i="19"/>
  <c r="N441" i="19"/>
  <c r="N440" i="19"/>
  <c r="N179" i="19"/>
  <c r="N244" i="19"/>
  <c r="N461" i="19"/>
  <c r="N460" i="19"/>
  <c r="E446" i="19"/>
  <c r="N707" i="19"/>
  <c r="O707" i="19"/>
  <c r="K442" i="19"/>
  <c r="O442" i="19" s="1"/>
  <c r="N446" i="19"/>
  <c r="O446" i="19"/>
  <c r="K465" i="19"/>
  <c r="O465" i="19" s="1"/>
  <c r="O704" i="19"/>
  <c r="N704" i="19"/>
  <c r="O444" i="19"/>
  <c r="N44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2" i="19" l="1"/>
  <c r="N46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0" i="19"/>
  <c r="N520" i="19"/>
  <c r="O519" i="19"/>
  <c r="N519" i="19"/>
  <c r="O713" i="19"/>
  <c r="N713" i="19"/>
  <c r="O837" i="19"/>
  <c r="N837" i="19"/>
  <c r="O420" i="19"/>
  <c r="N420" i="19"/>
  <c r="O419" i="19"/>
  <c r="N419" i="19"/>
  <c r="N149" i="22"/>
  <c r="N150" i="22"/>
  <c r="O149" i="22"/>
  <c r="O150" i="22"/>
  <c r="K466" i="19"/>
  <c r="N466" i="19" s="1"/>
  <c r="O709" i="19"/>
  <c r="N709" i="19"/>
  <c r="N710" i="19"/>
  <c r="O710" i="19"/>
  <c r="P16" i="30"/>
  <c r="E156" i="22"/>
  <c r="O466"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13" i="19"/>
  <c r="O613" i="19"/>
  <c r="N605" i="19"/>
  <c r="O605" i="19"/>
  <c r="N597" i="19"/>
  <c r="O597" i="19"/>
  <c r="N543" i="19"/>
  <c r="O543"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29" i="19"/>
  <c r="N529" i="19"/>
  <c r="O517" i="19"/>
  <c r="N517" i="19"/>
  <c r="O834" i="19"/>
  <c r="N834" i="19"/>
  <c r="O833" i="19"/>
  <c r="N833" i="19"/>
  <c r="O515" i="19"/>
  <c r="N515" i="19"/>
  <c r="O516" i="19"/>
  <c r="N516" i="19"/>
  <c r="O846" i="19"/>
  <c r="N846" i="19"/>
  <c r="O535" i="19"/>
  <c r="N535" i="19"/>
  <c r="O534" i="19"/>
  <c r="N534" i="19"/>
  <c r="O720" i="19"/>
  <c r="N720" i="19"/>
  <c r="O719" i="19"/>
  <c r="N719" i="19"/>
  <c r="O773" i="19"/>
  <c r="N773" i="19"/>
  <c r="O772" i="19"/>
  <c r="N772" i="19"/>
  <c r="O637" i="19"/>
  <c r="N637" i="19"/>
  <c r="O636" i="19"/>
  <c r="N636" i="19"/>
  <c r="O820" i="19"/>
  <c r="N820" i="19"/>
  <c r="O822" i="19"/>
  <c r="N822" i="19"/>
  <c r="O821" i="19"/>
  <c r="N821"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0" i="19"/>
  <c r="N530" i="19"/>
  <c r="O531" i="19"/>
  <c r="N531" i="19"/>
  <c r="O528" i="19"/>
  <c r="N528" i="19"/>
  <c r="O527" i="19"/>
  <c r="N527" i="19"/>
  <c r="O813" i="19"/>
  <c r="N813"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798" i="19"/>
  <c r="N798" i="19"/>
  <c r="O797" i="19"/>
  <c r="N797" i="19"/>
  <c r="O796" i="19"/>
  <c r="N796" i="19"/>
  <c r="O795" i="19"/>
  <c r="N795" i="19"/>
  <c r="O794" i="19"/>
  <c r="N794" i="19"/>
  <c r="O793" i="19"/>
  <c r="N793" i="19"/>
  <c r="O792" i="19"/>
  <c r="N792" i="19"/>
  <c r="O791" i="19"/>
  <c r="N791" i="19"/>
  <c r="O790" i="19"/>
  <c r="N790" i="19"/>
  <c r="O745" i="19"/>
  <c r="N745" i="19"/>
  <c r="O744" i="19"/>
  <c r="N744" i="19"/>
  <c r="O743" i="19"/>
  <c r="N743" i="19"/>
  <c r="O857" i="19"/>
  <c r="N857" i="19"/>
  <c r="O856" i="19"/>
  <c r="N856" i="19"/>
  <c r="O855" i="19"/>
  <c r="N855" i="19"/>
  <c r="O854" i="19"/>
  <c r="N854" i="19"/>
  <c r="O853" i="19"/>
  <c r="N853" i="19"/>
  <c r="O852" i="19"/>
  <c r="N852" i="19"/>
  <c r="O851" i="19"/>
  <c r="N851" i="19"/>
  <c r="O850" i="19"/>
  <c r="N850" i="19"/>
  <c r="O849" i="19"/>
  <c r="N849" i="19"/>
  <c r="O742" i="19"/>
  <c r="N742" i="19"/>
  <c r="O741" i="19"/>
  <c r="N741" i="19"/>
  <c r="O740" i="19"/>
  <c r="N740" i="19"/>
  <c r="O739" i="19"/>
  <c r="N739" i="19"/>
  <c r="O738" i="19"/>
  <c r="N738" i="19"/>
  <c r="O737" i="19"/>
  <c r="N737" i="19"/>
  <c r="O708" i="19"/>
  <c r="N708" i="19"/>
  <c r="O666" i="19"/>
  <c r="N666" i="19"/>
  <c r="O665" i="19"/>
  <c r="N665" i="19"/>
  <c r="O621" i="19"/>
  <c r="N621" i="19"/>
  <c r="O620" i="19"/>
  <c r="N620" i="19"/>
  <c r="O619" i="19"/>
  <c r="N619" i="19"/>
  <c r="O618" i="19"/>
  <c r="N618" i="19"/>
  <c r="O617" i="19"/>
  <c r="N617" i="19"/>
  <c r="O616" i="19"/>
  <c r="N616" i="19"/>
  <c r="O615" i="19"/>
  <c r="N615" i="19"/>
  <c r="O614" i="19"/>
  <c r="N614" i="19"/>
  <c r="O532" i="19"/>
  <c r="N532" i="19"/>
  <c r="O664" i="19"/>
  <c r="N664" i="19"/>
  <c r="O663" i="19"/>
  <c r="N663" i="19"/>
  <c r="O662" i="19"/>
  <c r="N662" i="19"/>
  <c r="O661" i="19"/>
  <c r="N661" i="19"/>
  <c r="O660" i="19"/>
  <c r="N660" i="19"/>
  <c r="O659" i="19"/>
  <c r="N659" i="19"/>
  <c r="O658" i="19"/>
  <c r="N658" i="19"/>
  <c r="O635" i="19"/>
  <c r="N635" i="19"/>
  <c r="O622" i="19"/>
  <c r="N622" i="19"/>
  <c r="O844" i="19"/>
  <c r="N844" i="19"/>
  <c r="O824" i="19"/>
  <c r="N824" i="19"/>
  <c r="O823" i="19"/>
  <c r="N823" i="19"/>
  <c r="O819" i="19"/>
  <c r="N819" i="19"/>
  <c r="O818" i="19"/>
  <c r="N818" i="19"/>
  <c r="O817" i="19"/>
  <c r="N817" i="19"/>
  <c r="O816" i="19"/>
  <c r="N816" i="19"/>
  <c r="O815" i="19"/>
  <c r="N815" i="19"/>
  <c r="O814" i="19"/>
  <c r="N814" i="19"/>
  <c r="O265" i="19"/>
  <c r="N265" i="19"/>
  <c r="O514" i="19"/>
  <c r="N514" i="19"/>
  <c r="O832" i="19"/>
  <c r="N832" i="19"/>
  <c r="O264" i="19"/>
  <c r="N264" i="19"/>
  <c r="O513" i="19"/>
  <c r="N513" i="19"/>
  <c r="O831" i="19"/>
  <c r="N831" i="19"/>
  <c r="O259" i="19"/>
  <c r="N259" i="19"/>
  <c r="O512" i="19"/>
  <c r="N512" i="19"/>
  <c r="O830" i="19"/>
  <c r="N830" i="19"/>
  <c r="O829" i="19"/>
  <c r="N829" i="19"/>
  <c r="O258" i="19"/>
  <c r="N258" i="19"/>
  <c r="O525" i="19"/>
  <c r="N525" i="19"/>
  <c r="O510" i="19"/>
  <c r="N510" i="19"/>
  <c r="O511" i="19"/>
  <c r="N511" i="19"/>
  <c r="O508" i="19"/>
  <c r="N508" i="19"/>
  <c r="O249" i="19"/>
  <c r="N249" i="19"/>
  <c r="O509" i="19"/>
  <c r="N509" i="19"/>
  <c r="O845" i="19"/>
  <c r="N845"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48" i="19"/>
  <c r="N448" i="19"/>
  <c r="O447" i="19"/>
  <c r="N447" i="19"/>
  <c r="O398" i="19"/>
  <c r="N398" i="19"/>
  <c r="O397" i="19"/>
  <c r="N397" i="19"/>
  <c r="O396" i="19"/>
  <c r="N396" i="19"/>
  <c r="O395" i="19"/>
  <c r="N395" i="19"/>
  <c r="O394" i="19"/>
  <c r="N394" i="19"/>
  <c r="O362" i="19"/>
  <c r="N362" i="19"/>
  <c r="O361" i="19"/>
  <c r="N361" i="19"/>
  <c r="O477" i="19"/>
  <c r="N477" i="19"/>
  <c r="O476" i="19"/>
  <c r="N476" i="19"/>
  <c r="O475" i="19"/>
  <c r="N475" i="19"/>
  <c r="O474" i="19"/>
  <c r="N474" i="19"/>
  <c r="O473" i="19"/>
  <c r="N473" i="19"/>
  <c r="O472" i="19"/>
  <c r="N472" i="19"/>
  <c r="O471" i="19"/>
  <c r="N471" i="19"/>
  <c r="O470" i="19"/>
  <c r="N470" i="19"/>
  <c r="O469" i="19"/>
  <c r="N469" i="19"/>
  <c r="O82" i="19"/>
  <c r="N82" i="19"/>
  <c r="O83" i="19"/>
  <c r="N83" i="19"/>
  <c r="O115" i="19"/>
  <c r="N115" i="19"/>
  <c r="O114" i="19"/>
  <c r="N114" i="19"/>
  <c r="O98" i="19"/>
  <c r="N98" i="19"/>
  <c r="O96" i="19"/>
  <c r="N96" i="19"/>
  <c r="O94" i="19"/>
  <c r="N94" i="19"/>
  <c r="O113" i="19"/>
  <c r="O92" i="19"/>
  <c r="N92" i="19"/>
  <c r="O112" i="19"/>
  <c r="N112" i="19"/>
  <c r="O842" i="19"/>
  <c r="N842" i="19"/>
  <c r="O788" i="19"/>
  <c r="N788" i="19"/>
  <c r="O787" i="19"/>
  <c r="N787" i="19"/>
  <c r="O786" i="19"/>
  <c r="N786" i="19"/>
  <c r="O841" i="19"/>
  <c r="N841" i="19"/>
  <c r="O828" i="19"/>
  <c r="N828" i="19"/>
  <c r="O771" i="19"/>
  <c r="N771" i="19"/>
  <c r="O785" i="19"/>
  <c r="N785" i="19"/>
  <c r="O733" i="19"/>
  <c r="N733" i="19"/>
  <c r="O729" i="19"/>
  <c r="N729" i="19"/>
  <c r="O736" i="19"/>
  <c r="N736" i="19"/>
  <c r="O735" i="19"/>
  <c r="N735" i="19"/>
  <c r="O726" i="19"/>
  <c r="N726" i="19"/>
  <c r="E726" i="19"/>
  <c r="O728" i="19"/>
  <c r="N728" i="19"/>
  <c r="E728" i="19"/>
  <c r="O727" i="19"/>
  <c r="N727" i="19"/>
  <c r="O725" i="19"/>
  <c r="N725" i="19"/>
  <c r="O724" i="19"/>
  <c r="N724" i="19"/>
  <c r="O723" i="19"/>
  <c r="N723" i="19"/>
  <c r="O721" i="19"/>
  <c r="N721" i="19"/>
  <c r="O722" i="19"/>
  <c r="N722" i="19"/>
  <c r="O630" i="19"/>
  <c r="N630" i="19"/>
  <c r="O634" i="19"/>
  <c r="N634" i="19"/>
  <c r="O633" i="19"/>
  <c r="N633" i="19"/>
  <c r="O628" i="19"/>
  <c r="N628" i="19"/>
  <c r="O629" i="19"/>
  <c r="N629" i="19"/>
  <c r="O627" i="19"/>
  <c r="N627" i="19"/>
  <c r="O390" i="19"/>
  <c r="N390" i="19"/>
  <c r="O347" i="19"/>
  <c r="N347" i="19"/>
  <c r="O346" i="19"/>
  <c r="N346" i="19"/>
  <c r="O345" i="19"/>
  <c r="N345" i="19"/>
  <c r="O344" i="19"/>
  <c r="N344" i="19"/>
  <c r="O350" i="19"/>
  <c r="N350" i="19"/>
  <c r="O349" i="19"/>
  <c r="N349" i="19"/>
  <c r="O734" i="19"/>
  <c r="N734" i="19"/>
  <c r="O732" i="19"/>
  <c r="N732" i="19"/>
  <c r="O731" i="19"/>
  <c r="N731" i="19"/>
  <c r="O392" i="19"/>
  <c r="N392" i="19"/>
  <c r="O435" i="19"/>
  <c r="N435" i="19"/>
  <c r="O439" i="19"/>
  <c r="N439" i="19"/>
  <c r="O437" i="19"/>
  <c r="N437" i="19"/>
  <c r="O172" i="19"/>
  <c r="N172" i="19"/>
  <c r="O171" i="19"/>
  <c r="N171" i="19"/>
  <c r="O170" i="19"/>
  <c r="N170" i="19"/>
  <c r="O388" i="19"/>
  <c r="N388" i="19"/>
  <c r="O702" i="19"/>
  <c r="N702" i="19"/>
  <c r="O169" i="19"/>
  <c r="N169" i="19"/>
  <c r="O168" i="19"/>
  <c r="N168" i="19"/>
  <c r="O167" i="19"/>
  <c r="N167" i="19"/>
  <c r="O387" i="19"/>
  <c r="N387" i="19"/>
  <c r="O701" i="19"/>
  <c r="N701" i="19"/>
  <c r="O558" i="19"/>
  <c r="N558" i="19"/>
  <c r="O848" i="19"/>
  <c r="N848" i="19"/>
  <c r="O295" i="19"/>
  <c r="N295" i="19"/>
  <c r="O294" i="19"/>
  <c r="N294" i="19"/>
  <c r="O296" i="19"/>
  <c r="N296" i="19"/>
  <c r="O292" i="19"/>
  <c r="N292" i="19"/>
  <c r="O291" i="19"/>
  <c r="N291" i="19"/>
  <c r="O293" i="19"/>
  <c r="N293" i="19"/>
  <c r="O386" i="19"/>
  <c r="N386" i="19"/>
  <c r="O385" i="19"/>
  <c r="N385" i="19"/>
  <c r="O108" i="19"/>
  <c r="N108" i="19"/>
  <c r="O120" i="19"/>
  <c r="N120" i="19"/>
  <c r="O107" i="19"/>
  <c r="N107" i="19"/>
  <c r="O119" i="19"/>
  <c r="N119" i="19"/>
  <c r="O290" i="19"/>
  <c r="N290" i="19"/>
  <c r="O524" i="19"/>
  <c r="N524" i="19"/>
  <c r="O843" i="19"/>
  <c r="N843" i="19"/>
  <c r="O382" i="19"/>
  <c r="N382" i="19"/>
  <c r="O381" i="19"/>
  <c r="N381" i="19"/>
  <c r="O380" i="19"/>
  <c r="N380" i="19"/>
  <c r="O379" i="19"/>
  <c r="N379" i="19"/>
  <c r="O378" i="19"/>
  <c r="N378" i="19"/>
  <c r="O377" i="19"/>
  <c r="N377" i="19"/>
  <c r="O376" i="19"/>
  <c r="N376" i="19"/>
  <c r="O445" i="19"/>
  <c r="N445" i="19"/>
  <c r="O438" i="19"/>
  <c r="N438" i="19"/>
  <c r="O404" i="19"/>
  <c r="N404" i="19"/>
  <c r="O403" i="19"/>
  <c r="N403" i="19"/>
  <c r="O401" i="19"/>
  <c r="N401" i="19"/>
  <c r="O400" i="19"/>
  <c r="N400" i="19"/>
  <c r="O391" i="19"/>
  <c r="N391" i="19"/>
  <c r="O715" i="19"/>
  <c r="N715" i="19"/>
  <c r="O714" i="19"/>
  <c r="N714" i="19"/>
  <c r="O717" i="19"/>
  <c r="N717" i="19"/>
  <c r="O747" i="19"/>
  <c r="N747" i="19"/>
  <c r="O718" i="19"/>
  <c r="N718" i="19"/>
  <c r="O748" i="19"/>
  <c r="N748"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57" i="19"/>
  <c r="N657" i="19"/>
  <c r="O706" i="19"/>
  <c r="N706"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2" i="19"/>
  <c r="N542" i="19"/>
  <c r="O541" i="19"/>
  <c r="N541" i="19"/>
  <c r="O540" i="19"/>
  <c r="N540" i="19"/>
  <c r="O539" i="19"/>
  <c r="N539" i="19"/>
  <c r="O538" i="19"/>
  <c r="N538" i="19"/>
  <c r="O537" i="19"/>
  <c r="N537" i="19"/>
  <c r="O536" i="19"/>
  <c r="N536" i="19"/>
  <c r="O596" i="19"/>
  <c r="N596" i="19"/>
  <c r="O595" i="19"/>
  <c r="N595" i="19"/>
  <c r="O594" i="19"/>
  <c r="N594" i="19"/>
  <c r="O593" i="19"/>
  <c r="N593" i="19"/>
  <c r="O592" i="19"/>
  <c r="N592" i="19"/>
  <c r="O591" i="19"/>
  <c r="N591" i="19"/>
  <c r="O590" i="19"/>
  <c r="N590" i="19"/>
  <c r="O604" i="19"/>
  <c r="N604" i="19"/>
  <c r="O603" i="19"/>
  <c r="N603" i="19"/>
  <c r="O602" i="19"/>
  <c r="N602" i="19"/>
  <c r="O601" i="19"/>
  <c r="N601" i="19"/>
  <c r="O600" i="19"/>
  <c r="N600" i="19"/>
  <c r="O599" i="19"/>
  <c r="N599" i="19"/>
  <c r="O598" i="19"/>
  <c r="N598" i="19"/>
  <c r="O612" i="19"/>
  <c r="N612" i="19"/>
  <c r="O611" i="19"/>
  <c r="N611" i="19"/>
  <c r="O610" i="19"/>
  <c r="N610" i="19"/>
  <c r="O609" i="19"/>
  <c r="N609" i="19"/>
  <c r="O608" i="19"/>
  <c r="N608" i="19"/>
  <c r="O607" i="19"/>
  <c r="N607" i="19"/>
  <c r="O606" i="19"/>
  <c r="N606" i="19"/>
  <c r="O257" i="19"/>
  <c r="N257" i="19"/>
  <c r="O459" i="19"/>
  <c r="N459" i="19"/>
  <c r="O458" i="19"/>
  <c r="N458" i="19"/>
  <c r="O507" i="19"/>
  <c r="N507" i="19"/>
  <c r="O656" i="19"/>
  <c r="N656" i="19"/>
  <c r="O655" i="19"/>
  <c r="N655" i="19"/>
  <c r="O654" i="19"/>
  <c r="N654" i="19"/>
  <c r="O653" i="19"/>
  <c r="N653" i="19"/>
  <c r="O652" i="19"/>
  <c r="N652" i="19"/>
  <c r="O651" i="19"/>
  <c r="N651" i="19"/>
  <c r="O650" i="19"/>
  <c r="N650" i="19"/>
  <c r="O255" i="19"/>
  <c r="N255" i="19"/>
  <c r="O457" i="19"/>
  <c r="N457" i="19"/>
  <c r="O456" i="19"/>
  <c r="N456" i="19"/>
  <c r="O506" i="19"/>
  <c r="N506" i="19"/>
  <c r="O649" i="19"/>
  <c r="N649" i="19"/>
  <c r="O159" i="19"/>
  <c r="N159" i="19"/>
  <c r="O253" i="19"/>
  <c r="N253" i="19"/>
  <c r="L505" i="19"/>
  <c r="K505" i="19"/>
  <c r="O586" i="19"/>
  <c r="N586" i="19"/>
  <c r="O585" i="19"/>
  <c r="N585" i="19"/>
  <c r="O584" i="19"/>
  <c r="N584" i="19"/>
  <c r="O583" i="19"/>
  <c r="N583" i="19"/>
  <c r="O582" i="19"/>
  <c r="N582" i="19"/>
  <c r="O581" i="19"/>
  <c r="N581" i="19"/>
  <c r="O580" i="19"/>
  <c r="N580" i="19"/>
  <c r="O648" i="19"/>
  <c r="N648" i="19"/>
  <c r="O468" i="19"/>
  <c r="N468" i="19"/>
  <c r="O467" i="19"/>
  <c r="N467" i="19"/>
  <c r="O504" i="19"/>
  <c r="N504" i="19"/>
  <c r="O455" i="19"/>
  <c r="N455" i="19"/>
  <c r="O454" i="19"/>
  <c r="N454" i="19"/>
  <c r="O503" i="19"/>
  <c r="N503" i="19"/>
  <c r="O450" i="19"/>
  <c r="N450" i="19"/>
  <c r="O502" i="19"/>
  <c r="N502" i="19"/>
  <c r="O587" i="19"/>
  <c r="N587" i="19"/>
  <c r="O588" i="19"/>
  <c r="N588" i="19"/>
  <c r="O589" i="19"/>
  <c r="N589" i="19"/>
  <c r="O769" i="19"/>
  <c r="N769" i="19"/>
  <c r="O768" i="19"/>
  <c r="N768" i="19"/>
  <c r="O767" i="19"/>
  <c r="N767" i="19"/>
  <c r="O766" i="19"/>
  <c r="N766" i="19"/>
  <c r="O765" i="19"/>
  <c r="N765" i="19"/>
  <c r="O764" i="19"/>
  <c r="N764" i="19"/>
  <c r="O774" i="19"/>
  <c r="N774" i="19"/>
  <c r="O763" i="19"/>
  <c r="N763" i="19"/>
  <c r="O789" i="19"/>
  <c r="N789" i="19"/>
  <c r="O252" i="19"/>
  <c r="N252" i="19"/>
  <c r="O453" i="19"/>
  <c r="N453" i="19"/>
  <c r="O452" i="19"/>
  <c r="N452" i="19"/>
  <c r="O501" i="19"/>
  <c r="N501" i="19"/>
  <c r="O647" i="19"/>
  <c r="N647" i="19"/>
  <c r="K443" i="19"/>
  <c r="O443" i="19" s="1"/>
  <c r="O463" i="19"/>
  <c r="N463" i="19"/>
  <c r="O464" i="19"/>
  <c r="N464" i="19"/>
  <c r="O523" i="19"/>
  <c r="N523" i="19"/>
  <c r="O840" i="19"/>
  <c r="N840" i="19"/>
  <c r="O776" i="19"/>
  <c r="N776" i="19"/>
  <c r="O770" i="19"/>
  <c r="N770" i="19"/>
  <c r="O777" i="19"/>
  <c r="N777" i="19"/>
  <c r="O500" i="19"/>
  <c r="N500" i="19"/>
  <c r="O533" i="19"/>
  <c r="N533" i="19"/>
  <c r="O705" i="19"/>
  <c r="N705" i="19"/>
  <c r="O730" i="19"/>
  <c r="N730" i="19"/>
  <c r="O492" i="19"/>
  <c r="N492" i="19"/>
  <c r="O498" i="19"/>
  <c r="N498" i="19"/>
  <c r="O499" i="19"/>
  <c r="N499" i="19"/>
  <c r="O522" i="19"/>
  <c r="N522" i="19"/>
  <c r="O839" i="19"/>
  <c r="N839"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18" i="19"/>
  <c r="N418" i="19"/>
  <c r="O417" i="19"/>
  <c r="N417" i="19"/>
  <c r="O416" i="19"/>
  <c r="N416" i="19"/>
  <c r="O415" i="19"/>
  <c r="N415" i="19"/>
  <c r="O414" i="19"/>
  <c r="N414" i="19"/>
  <c r="O413" i="19"/>
  <c r="N413" i="19"/>
  <c r="O412" i="19"/>
  <c r="N412" i="19"/>
  <c r="O411" i="19"/>
  <c r="N411" i="19"/>
  <c r="O410" i="19"/>
  <c r="N410" i="19"/>
  <c r="O409" i="19"/>
  <c r="N409" i="19"/>
  <c r="O408" i="19"/>
  <c r="N408" i="19"/>
  <c r="O407" i="19"/>
  <c r="N407" i="19"/>
  <c r="O406" i="19"/>
  <c r="N406" i="19"/>
  <c r="O405" i="19"/>
  <c r="N405" i="19"/>
  <c r="O434" i="19"/>
  <c r="N434" i="19"/>
  <c r="O433" i="19"/>
  <c r="N433" i="19"/>
  <c r="O432" i="19"/>
  <c r="N432" i="19"/>
  <c r="O431" i="19"/>
  <c r="N431" i="19"/>
  <c r="O430" i="19"/>
  <c r="N430" i="19"/>
  <c r="O429" i="19"/>
  <c r="N429" i="19"/>
  <c r="O428" i="19"/>
  <c r="N428" i="19"/>
  <c r="O427" i="19"/>
  <c r="N427" i="19"/>
  <c r="O426" i="19"/>
  <c r="N426" i="19"/>
  <c r="O425" i="19"/>
  <c r="N425" i="19"/>
  <c r="O424" i="19"/>
  <c r="N424" i="19"/>
  <c r="O423" i="19"/>
  <c r="N423" i="19"/>
  <c r="O422" i="19"/>
  <c r="N422" i="19"/>
  <c r="O421" i="19"/>
  <c r="N421" i="19"/>
  <c r="O491" i="19"/>
  <c r="N491" i="19"/>
  <c r="O490" i="19"/>
  <c r="N490" i="19"/>
  <c r="O489" i="19"/>
  <c r="N489" i="19"/>
  <c r="O488" i="19"/>
  <c r="N488" i="19"/>
  <c r="O487" i="19"/>
  <c r="N487" i="19"/>
  <c r="O486" i="19"/>
  <c r="N486" i="19"/>
  <c r="O485" i="19"/>
  <c r="N485" i="19"/>
  <c r="O484" i="19"/>
  <c r="N484" i="19"/>
  <c r="O483" i="19"/>
  <c r="N483" i="19"/>
  <c r="O482" i="19"/>
  <c r="N482" i="19"/>
  <c r="O481" i="19"/>
  <c r="N481" i="19"/>
  <c r="O480" i="19"/>
  <c r="N480" i="19"/>
  <c r="O479" i="19"/>
  <c r="N479" i="19"/>
  <c r="O478" i="19"/>
  <c r="N478" i="19"/>
  <c r="O557" i="19"/>
  <c r="N557" i="19"/>
  <c r="O556" i="19"/>
  <c r="N556" i="19"/>
  <c r="O555" i="19"/>
  <c r="N555" i="19"/>
  <c r="O554" i="19"/>
  <c r="N554" i="19"/>
  <c r="O553" i="19"/>
  <c r="N553" i="19"/>
  <c r="O552" i="19"/>
  <c r="N552" i="19"/>
  <c r="O551" i="19"/>
  <c r="N551" i="19"/>
  <c r="O550" i="19"/>
  <c r="N550" i="19"/>
  <c r="O549" i="19"/>
  <c r="N549" i="19"/>
  <c r="O548" i="19"/>
  <c r="N548" i="19"/>
  <c r="O547" i="19"/>
  <c r="N547" i="19"/>
  <c r="O546" i="19"/>
  <c r="N546" i="19"/>
  <c r="O545" i="19"/>
  <c r="N545" i="19"/>
  <c r="O544" i="19"/>
  <c r="N544" i="19"/>
  <c r="O680" i="19"/>
  <c r="N680" i="19"/>
  <c r="O679" i="19"/>
  <c r="N679" i="19"/>
  <c r="O678" i="19"/>
  <c r="N678" i="19"/>
  <c r="O677" i="19"/>
  <c r="N677" i="19"/>
  <c r="O676" i="19"/>
  <c r="N676" i="19"/>
  <c r="O675" i="19"/>
  <c r="N675" i="19"/>
  <c r="O674" i="19"/>
  <c r="N674" i="19"/>
  <c r="O673" i="19"/>
  <c r="N673" i="19"/>
  <c r="O672" i="19"/>
  <c r="N672" i="19"/>
  <c r="O671" i="19"/>
  <c r="N671" i="19"/>
  <c r="O670" i="19"/>
  <c r="N670" i="19"/>
  <c r="O669" i="19"/>
  <c r="N669" i="19"/>
  <c r="O668" i="19"/>
  <c r="N668" i="19"/>
  <c r="O667" i="19"/>
  <c r="N667" i="19"/>
  <c r="O699" i="19"/>
  <c r="N699" i="19"/>
  <c r="O698" i="19"/>
  <c r="N698" i="19"/>
  <c r="O697" i="19"/>
  <c r="N697" i="19"/>
  <c r="O696" i="19"/>
  <c r="N696" i="19"/>
  <c r="O695" i="19"/>
  <c r="N695" i="19"/>
  <c r="O694" i="19"/>
  <c r="N694" i="19"/>
  <c r="O693" i="19"/>
  <c r="N693" i="19"/>
  <c r="O692" i="19"/>
  <c r="N692" i="19"/>
  <c r="O691" i="19"/>
  <c r="N691" i="19"/>
  <c r="O690" i="19"/>
  <c r="N690" i="19"/>
  <c r="O689" i="19"/>
  <c r="N689" i="19"/>
  <c r="O688" i="19"/>
  <c r="N688" i="19"/>
  <c r="O687" i="19"/>
  <c r="N687" i="19"/>
  <c r="O686" i="19"/>
  <c r="N686" i="19"/>
  <c r="O762" i="19"/>
  <c r="N762" i="19"/>
  <c r="O761" i="19"/>
  <c r="N761" i="19"/>
  <c r="O760" i="19"/>
  <c r="N760" i="19"/>
  <c r="O759" i="19"/>
  <c r="N759" i="19"/>
  <c r="O758" i="19"/>
  <c r="N758" i="19"/>
  <c r="O757" i="19"/>
  <c r="N757" i="19"/>
  <c r="O756" i="19"/>
  <c r="N756" i="19"/>
  <c r="O755" i="19"/>
  <c r="N755" i="19"/>
  <c r="O754" i="19"/>
  <c r="N754" i="19"/>
  <c r="O753" i="19"/>
  <c r="N753" i="19"/>
  <c r="O752" i="19"/>
  <c r="N752" i="19"/>
  <c r="O751" i="19"/>
  <c r="N751" i="19"/>
  <c r="O750" i="19"/>
  <c r="N750" i="19"/>
  <c r="O749" i="19"/>
  <c r="N749" i="19"/>
  <c r="O287" i="19"/>
  <c r="N287" i="19"/>
  <c r="O288" i="19"/>
  <c r="N288" i="19"/>
  <c r="O289" i="19"/>
  <c r="N289" i="19"/>
  <c r="O497" i="19"/>
  <c r="N497" i="19"/>
  <c r="O836" i="19"/>
  <c r="N836" i="19"/>
  <c r="O399" i="19"/>
  <c r="N399" i="19"/>
  <c r="O626" i="19"/>
  <c r="N626" i="19"/>
  <c r="O625" i="19"/>
  <c r="N625" i="19"/>
  <c r="O624" i="19"/>
  <c r="N624" i="19"/>
  <c r="O623" i="19"/>
  <c r="N623" i="19"/>
  <c r="O267" i="19"/>
  <c r="N267" i="19"/>
  <c r="O286" i="19"/>
  <c r="N286" i="19"/>
  <c r="O521" i="19"/>
  <c r="N521" i="19"/>
  <c r="O838" i="19"/>
  <c r="N838" i="19"/>
  <c r="O102" i="19"/>
  <c r="N102" i="19"/>
  <c r="O118" i="19"/>
  <c r="N118" i="19"/>
  <c r="O449" i="19"/>
  <c r="N449" i="19"/>
  <c r="O451" i="19"/>
  <c r="N451" i="19"/>
  <c r="O462" i="19"/>
  <c r="N462" i="19"/>
  <c r="O285" i="19"/>
  <c r="N285" i="19"/>
  <c r="O518" i="19"/>
  <c r="N518" i="19"/>
  <c r="O835" i="19"/>
  <c r="N835" i="19"/>
  <c r="O101" i="19"/>
  <c r="N101" i="19"/>
  <c r="O117" i="19"/>
  <c r="N117" i="19"/>
  <c r="O158" i="19"/>
  <c r="N158" i="19"/>
  <c r="O248" i="19"/>
  <c r="N248" i="19"/>
  <c r="L496" i="19"/>
  <c r="K496" i="19"/>
  <c r="O579" i="19"/>
  <c r="N579" i="19"/>
  <c r="O578" i="19"/>
  <c r="N578" i="19"/>
  <c r="O577" i="19"/>
  <c r="N577" i="19"/>
  <c r="O576" i="19"/>
  <c r="N576" i="19"/>
  <c r="O575" i="19"/>
  <c r="N575" i="19"/>
  <c r="O574" i="19"/>
  <c r="N574" i="19"/>
  <c r="O573" i="19"/>
  <c r="N573" i="19"/>
  <c r="O646" i="19"/>
  <c r="N646" i="19"/>
  <c r="O157" i="19"/>
  <c r="N157" i="19"/>
  <c r="O247" i="19"/>
  <c r="N247" i="19"/>
  <c r="L495" i="19"/>
  <c r="K495" i="19"/>
  <c r="O572" i="19"/>
  <c r="N572" i="19"/>
  <c r="O571" i="19"/>
  <c r="N571" i="19"/>
  <c r="O570" i="19"/>
  <c r="N570" i="19"/>
  <c r="O569" i="19"/>
  <c r="N569" i="19"/>
  <c r="O568" i="19"/>
  <c r="N568" i="19"/>
  <c r="O567" i="19"/>
  <c r="N567" i="19"/>
  <c r="O566" i="19"/>
  <c r="N566" i="19"/>
  <c r="O645" i="19"/>
  <c r="N645" i="19"/>
  <c r="O644" i="19"/>
  <c r="N644" i="19"/>
  <c r="O643" i="19"/>
  <c r="N643" i="19"/>
  <c r="O642" i="19"/>
  <c r="N642" i="19"/>
  <c r="O641" i="19"/>
  <c r="N641" i="19"/>
  <c r="O640" i="19"/>
  <c r="N640" i="19"/>
  <c r="O639" i="19"/>
  <c r="N639" i="19"/>
  <c r="O156" i="19"/>
  <c r="N156" i="19"/>
  <c r="O246" i="19"/>
  <c r="N246" i="19"/>
  <c r="L494" i="19"/>
  <c r="K494" i="19"/>
  <c r="O565" i="19"/>
  <c r="N565" i="19"/>
  <c r="O564" i="19"/>
  <c r="N564" i="19"/>
  <c r="O563" i="19"/>
  <c r="N563" i="19"/>
  <c r="O562" i="19"/>
  <c r="N562" i="19"/>
  <c r="O561" i="19"/>
  <c r="N561" i="19"/>
  <c r="O560" i="19"/>
  <c r="N560" i="19"/>
  <c r="O559" i="19"/>
  <c r="N559" i="19"/>
  <c r="O638" i="19"/>
  <c r="N638" i="19"/>
  <c r="O100" i="19"/>
  <c r="N100" i="19"/>
  <c r="O711" i="19"/>
  <c r="N711" i="19"/>
  <c r="O90" i="19"/>
  <c r="N90" i="19"/>
  <c r="O703" i="19"/>
  <c r="N703" i="19"/>
  <c r="O174" i="19"/>
  <c r="N174" i="19"/>
  <c r="O173" i="19"/>
  <c r="N173" i="19"/>
  <c r="O176" i="19"/>
  <c r="N176" i="19"/>
  <c r="O175" i="19"/>
  <c r="N175" i="19"/>
  <c r="O177" i="19"/>
  <c r="N177" i="19"/>
  <c r="O365" i="19"/>
  <c r="N365" i="19"/>
  <c r="O166" i="19"/>
  <c r="N166" i="19"/>
  <c r="O165" i="19"/>
  <c r="N165" i="19"/>
  <c r="O780" i="19"/>
  <c r="N780"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495" i="19"/>
  <c r="O494" i="19"/>
  <c r="O496" i="19"/>
  <c r="N496" i="19"/>
  <c r="N505"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05" i="19"/>
  <c r="O37" i="19"/>
  <c r="O15" i="19"/>
  <c r="O77" i="19"/>
  <c r="O5" i="19"/>
  <c r="O99" i="19"/>
  <c r="N147" i="19"/>
  <c r="N97" i="19"/>
  <c r="N28" i="19"/>
  <c r="O104" i="19"/>
  <c r="O79" i="19"/>
  <c r="N443" i="19"/>
  <c r="O58" i="19"/>
  <c r="O62" i="19"/>
  <c r="O66" i="19"/>
  <c r="O34" i="19"/>
  <c r="O38" i="19"/>
  <c r="O12" i="19"/>
  <c r="O16" i="19"/>
  <c r="O20" i="19"/>
  <c r="O70" i="19"/>
  <c r="O74" i="19"/>
  <c r="O2" i="19"/>
  <c r="O6" i="19"/>
  <c r="O10" i="19"/>
  <c r="O24" i="19"/>
  <c r="O129" i="19"/>
  <c r="N65" i="19"/>
  <c r="N19" i="19"/>
  <c r="N69" i="19"/>
  <c r="N33" i="19"/>
  <c r="N73" i="19"/>
  <c r="N494" i="19"/>
  <c r="N495"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29" i="30" l="1"/>
  <c r="M274" i="30"/>
  <c r="M273" i="30"/>
  <c r="M272" i="30"/>
  <c r="K258" i="30"/>
  <c r="K231" i="30"/>
  <c r="K243" i="30"/>
  <c r="K266" i="30"/>
  <c r="K257" i="30"/>
  <c r="K261" i="30"/>
  <c r="K268" i="30"/>
  <c r="K259" i="30"/>
  <c r="K241" i="30"/>
  <c r="K232" i="30"/>
  <c r="K270" i="30"/>
  <c r="K234" i="30"/>
  <c r="K263" i="30"/>
  <c r="K265" i="30"/>
  <c r="K230" i="30"/>
  <c r="K264" i="30"/>
  <c r="K269" i="30"/>
  <c r="K260" i="30"/>
  <c r="K242" i="30"/>
  <c r="K267" i="30"/>
  <c r="K271" i="30"/>
  <c r="K262"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95" i="30"/>
  <c r="K172" i="30"/>
  <c r="K85" i="30"/>
  <c r="K166" i="30"/>
  <c r="K18" i="30"/>
  <c r="K155" i="30"/>
  <c r="K168" i="30"/>
  <c r="K180" i="30"/>
  <c r="K34" i="30"/>
  <c r="K11" i="30"/>
  <c r="K96" i="30"/>
  <c r="K65" i="30"/>
  <c r="K82" i="30"/>
  <c r="K59"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147" i="30"/>
  <c r="K103" i="30"/>
  <c r="K16" i="30"/>
  <c r="K86" i="30"/>
  <c r="K223" i="30"/>
  <c r="K179" i="30"/>
  <c r="K170" i="30"/>
  <c r="K55" i="30"/>
  <c r="K211" i="30"/>
  <c r="K225" i="30"/>
  <c r="K189" i="30"/>
  <c r="K199" i="30"/>
  <c r="K169" i="30"/>
  <c r="K133" i="30"/>
  <c r="K92" i="30"/>
  <c r="K8" i="30"/>
  <c r="K90" i="30"/>
  <c r="K9" i="30"/>
  <c r="K139" i="30"/>
  <c r="K140" i="30"/>
  <c r="K122" i="30"/>
  <c r="K58" i="30"/>
  <c r="K17"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80" i="33" l="1"/>
  <c r="B281" i="33"/>
  <c r="B282" i="33"/>
  <c r="B283" i="33"/>
  <c r="B284" i="33"/>
  <c r="B285" i="33"/>
  <c r="D280" i="33"/>
  <c r="D282" i="33"/>
  <c r="D284" i="33"/>
  <c r="C280" i="33"/>
  <c r="C281" i="33"/>
  <c r="C282" i="33"/>
  <c r="C283" i="33"/>
  <c r="C284" i="33"/>
  <c r="C285" i="33"/>
  <c r="D281" i="33"/>
  <c r="D283" i="33"/>
  <c r="D285" i="33"/>
  <c r="B279" i="33"/>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235" i="30" l="1"/>
  <c r="K236" i="30"/>
  <c r="K233" i="30"/>
  <c r="K238" i="30"/>
  <c r="K108" i="30"/>
  <c r="K119" i="30"/>
  <c r="K98" i="30"/>
  <c r="K246" i="30"/>
  <c r="K250" i="30"/>
  <c r="K251" i="30"/>
  <c r="K249" i="30"/>
  <c r="K217" i="30"/>
  <c r="K248" i="30"/>
  <c r="K247" i="30"/>
  <c r="K240" i="30"/>
  <c r="K216" i="30"/>
  <c r="K123" i="30"/>
  <c r="K99" i="30"/>
  <c r="K239" i="30"/>
  <c r="K237" i="30"/>
  <c r="K244" i="30"/>
  <c r="K245" i="30"/>
  <c r="K60" i="30"/>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05" i="19" s="1"/>
  <c r="E120" i="22"/>
  <c r="P127" i="22" s="1"/>
  <c r="E478" i="19" s="1"/>
  <c r="E116" i="22"/>
  <c r="H127" i="22" s="1"/>
  <c r="E304" i="19" s="1"/>
  <c r="E122" i="22"/>
  <c r="T127" i="22" s="1"/>
  <c r="E544" i="19" s="1"/>
  <c r="E117" i="22"/>
  <c r="J127" i="22" s="1"/>
  <c r="E686" i="19" s="1"/>
  <c r="E118" i="22"/>
  <c r="L127" i="22" s="1"/>
  <c r="E749" i="19" s="1"/>
  <c r="E114" i="22"/>
  <c r="D127" i="22" s="1"/>
  <c r="E218" i="19" s="1"/>
  <c r="E119" i="22"/>
  <c r="N127" i="22" s="1"/>
  <c r="E421" i="19" s="1"/>
  <c r="E113" i="22"/>
  <c r="B127" i="22" s="1"/>
  <c r="E667" i="19" s="1"/>
  <c r="E121" i="22"/>
  <c r="R127" i="22" s="1"/>
  <c r="E318" i="19" s="1"/>
  <c r="R128" i="22"/>
  <c r="E319" i="19" s="1"/>
  <c r="R129" i="22"/>
  <c r="E320" i="19" s="1"/>
  <c r="H131" i="22"/>
  <c r="E308" i="19" s="1"/>
  <c r="P131" i="22"/>
  <c r="E482" i="19" s="1"/>
  <c r="F131" i="22"/>
  <c r="E208" i="19" s="1"/>
  <c r="N131" i="22"/>
  <c r="E425" i="19" s="1"/>
  <c r="V131" i="22"/>
  <c r="E409" i="19" s="1"/>
  <c r="D131" i="22"/>
  <c r="E222" i="19" s="1"/>
  <c r="L131" i="22"/>
  <c r="E753" i="19" s="1"/>
  <c r="T131" i="22"/>
  <c r="E548" i="19" s="1"/>
  <c r="J131" i="22"/>
  <c r="E690" i="19" s="1"/>
  <c r="B131" i="22"/>
  <c r="E671" i="19" s="1"/>
  <c r="F129" i="22"/>
  <c r="E206" i="19" s="1"/>
  <c r="N129" i="22"/>
  <c r="E423" i="19" s="1"/>
  <c r="V129" i="22"/>
  <c r="E407" i="19" s="1"/>
  <c r="D129" i="22"/>
  <c r="E220" i="19" s="1"/>
  <c r="L129" i="22"/>
  <c r="E751" i="19" s="1"/>
  <c r="T129" i="22"/>
  <c r="E546" i="19" s="1"/>
  <c r="J129" i="22"/>
  <c r="E688" i="19" s="1"/>
  <c r="B129" i="22"/>
  <c r="E669" i="19" s="1"/>
  <c r="H129" i="22"/>
  <c r="E306" i="19" s="1"/>
  <c r="P129" i="22"/>
  <c r="E480" i="19" s="1"/>
  <c r="B132" i="22"/>
  <c r="E672" i="19" s="1"/>
  <c r="H132" i="22"/>
  <c r="E309" i="19" s="1"/>
  <c r="P132" i="22"/>
  <c r="E483" i="19" s="1"/>
  <c r="F132" i="22"/>
  <c r="E209" i="19" s="1"/>
  <c r="N132" i="22"/>
  <c r="E426" i="19" s="1"/>
  <c r="V132" i="22"/>
  <c r="E410" i="19" s="1"/>
  <c r="D132" i="22"/>
  <c r="E223" i="19" s="1"/>
  <c r="L132" i="22"/>
  <c r="E754" i="19" s="1"/>
  <c r="T132" i="22"/>
  <c r="E549" i="19" s="1"/>
  <c r="J132" i="22"/>
  <c r="E691" i="19" s="1"/>
  <c r="F137" i="22"/>
  <c r="E214" i="19" s="1"/>
  <c r="N137" i="22"/>
  <c r="E431" i="19" s="1"/>
  <c r="V137" i="22"/>
  <c r="E415" i="19" s="1"/>
  <c r="D137" i="22"/>
  <c r="E228" i="19" s="1"/>
  <c r="L137" i="22"/>
  <c r="E759" i="19" s="1"/>
  <c r="T137" i="22"/>
  <c r="E554" i="19" s="1"/>
  <c r="J137" i="22"/>
  <c r="E696" i="19" s="1"/>
  <c r="B137" i="22"/>
  <c r="E677" i="19" s="1"/>
  <c r="H137" i="22"/>
  <c r="E314" i="19" s="1"/>
  <c r="P137" i="22"/>
  <c r="E488" i="19" s="1"/>
  <c r="R132" i="22"/>
  <c r="E323" i="19" s="1"/>
  <c r="F138" i="22"/>
  <c r="E215" i="19" s="1"/>
  <c r="N138" i="22"/>
  <c r="E432" i="19" s="1"/>
  <c r="V138" i="22"/>
  <c r="E416" i="19" s="1"/>
  <c r="D138" i="22"/>
  <c r="E229" i="19" s="1"/>
  <c r="L138" i="22"/>
  <c r="E760" i="19" s="1"/>
  <c r="T138" i="22"/>
  <c r="E555" i="19" s="1"/>
  <c r="J138" i="22"/>
  <c r="E697" i="19" s="1"/>
  <c r="B138" i="22"/>
  <c r="E678" i="19" s="1"/>
  <c r="H138" i="22"/>
  <c r="E315" i="19" s="1"/>
  <c r="P138" i="22"/>
  <c r="E489" i="19" s="1"/>
  <c r="D135" i="22"/>
  <c r="E226" i="19" s="1"/>
  <c r="L135" i="22"/>
  <c r="E757" i="19" s="1"/>
  <c r="T135" i="22"/>
  <c r="E552" i="19" s="1"/>
  <c r="J135" i="22"/>
  <c r="E694" i="19" s="1"/>
  <c r="B135" i="22"/>
  <c r="E675" i="19" s="1"/>
  <c r="H135" i="22"/>
  <c r="E312" i="19" s="1"/>
  <c r="P135" i="22"/>
  <c r="E486" i="19" s="1"/>
  <c r="F135" i="22"/>
  <c r="E212" i="19" s="1"/>
  <c r="N135" i="22"/>
  <c r="E429" i="19" s="1"/>
  <c r="V135" i="22"/>
  <c r="E413" i="19" s="1"/>
  <c r="J134" i="22"/>
  <c r="E693" i="19" s="1"/>
  <c r="B134" i="22"/>
  <c r="E674" i="19" s="1"/>
  <c r="H134" i="22"/>
  <c r="E311" i="19" s="1"/>
  <c r="P134" i="22"/>
  <c r="E485" i="19" s="1"/>
  <c r="F134" i="22"/>
  <c r="E211" i="19" s="1"/>
  <c r="N134" i="22"/>
  <c r="E428" i="19" s="1"/>
  <c r="V134" i="22"/>
  <c r="E412" i="19" s="1"/>
  <c r="D134" i="22"/>
  <c r="E225" i="19" s="1"/>
  <c r="L134" i="22"/>
  <c r="E756" i="19" s="1"/>
  <c r="T134" i="22"/>
  <c r="E551" i="19" s="1"/>
  <c r="R135" i="22"/>
  <c r="E326" i="19" s="1"/>
  <c r="B140" i="22"/>
  <c r="E680" i="19" s="1"/>
  <c r="H140" i="22"/>
  <c r="E317" i="19" s="1"/>
  <c r="P140" i="22"/>
  <c r="E491" i="19" s="1"/>
  <c r="F140" i="22"/>
  <c r="E217" i="19" s="1"/>
  <c r="N140" i="22"/>
  <c r="E434" i="19" s="1"/>
  <c r="V140" i="22"/>
  <c r="E418" i="19" s="1"/>
  <c r="D140" i="22"/>
  <c r="E231" i="19" s="1"/>
  <c r="L140" i="22"/>
  <c r="E762" i="19" s="1"/>
  <c r="T140" i="22"/>
  <c r="E557" i="19" s="1"/>
  <c r="J140" i="22"/>
  <c r="E699" i="19" s="1"/>
  <c r="D136" i="22"/>
  <c r="E227" i="19" s="1"/>
  <c r="L136" i="22"/>
  <c r="E758" i="19" s="1"/>
  <c r="T136" i="22"/>
  <c r="E553" i="19" s="1"/>
  <c r="J136" i="22"/>
  <c r="E695" i="19" s="1"/>
  <c r="B136" i="22"/>
  <c r="E676" i="19" s="1"/>
  <c r="H136" i="22"/>
  <c r="E313" i="19" s="1"/>
  <c r="P136" i="22"/>
  <c r="E487" i="19" s="1"/>
  <c r="F136" i="22"/>
  <c r="E213" i="19" s="1"/>
  <c r="N136" i="22"/>
  <c r="E430" i="19" s="1"/>
  <c r="V136" i="22"/>
  <c r="E414" i="19" s="1"/>
  <c r="H139" i="22"/>
  <c r="E316" i="19" s="1"/>
  <c r="P139" i="22"/>
  <c r="E490" i="19" s="1"/>
  <c r="F139" i="22"/>
  <c r="E216" i="19" s="1"/>
  <c r="N139" i="22"/>
  <c r="E433" i="19" s="1"/>
  <c r="V139" i="22"/>
  <c r="E417" i="19" s="1"/>
  <c r="D139" i="22"/>
  <c r="E230" i="19" s="1"/>
  <c r="L139" i="22"/>
  <c r="E761" i="19" s="1"/>
  <c r="T139" i="22"/>
  <c r="E556" i="19" s="1"/>
  <c r="J139" i="22"/>
  <c r="E698" i="19" s="1"/>
  <c r="B139" i="22"/>
  <c r="E679" i="19" s="1"/>
  <c r="D128" i="22"/>
  <c r="E219" i="19" s="1"/>
  <c r="L128" i="22"/>
  <c r="E750" i="19" s="1"/>
  <c r="T128" i="22"/>
  <c r="E545" i="19" s="1"/>
  <c r="J128" i="22"/>
  <c r="E687" i="19" s="1"/>
  <c r="B128" i="22"/>
  <c r="E668" i="19" s="1"/>
  <c r="H128" i="22"/>
  <c r="E305" i="19" s="1"/>
  <c r="P128" i="22"/>
  <c r="E479" i="19" s="1"/>
  <c r="F128" i="22"/>
  <c r="E205" i="19" s="1"/>
  <c r="N128" i="22"/>
  <c r="E422" i="19" s="1"/>
  <c r="V128" i="22"/>
  <c r="E406" i="19" s="1"/>
  <c r="R134" i="22"/>
  <c r="E325" i="19" s="1"/>
  <c r="J133" i="22"/>
  <c r="E692" i="19" s="1"/>
  <c r="B133" i="22"/>
  <c r="E673" i="19" s="1"/>
  <c r="H133" i="22"/>
  <c r="E310" i="19" s="1"/>
  <c r="P133" i="22"/>
  <c r="E484" i="19" s="1"/>
  <c r="F133" i="22"/>
  <c r="E210" i="19" s="1"/>
  <c r="N133" i="22"/>
  <c r="E427" i="19" s="1"/>
  <c r="V133" i="22"/>
  <c r="E411" i="19" s="1"/>
  <c r="D133" i="22"/>
  <c r="E224" i="19" s="1"/>
  <c r="L133" i="22"/>
  <c r="E755" i="19" s="1"/>
  <c r="T133" i="22"/>
  <c r="E550" i="19" s="1"/>
  <c r="R133" i="22"/>
  <c r="E324" i="19" s="1"/>
  <c r="R140" i="22"/>
  <c r="E331" i="19" s="1"/>
  <c r="N130" i="22"/>
  <c r="E424" i="19" s="1"/>
  <c r="V130" i="22"/>
  <c r="E408" i="19" s="1"/>
  <c r="D130" i="22"/>
  <c r="E221" i="19" s="1"/>
  <c r="L130" i="22"/>
  <c r="E752" i="19" s="1"/>
  <c r="T130" i="22"/>
  <c r="E547" i="19" s="1"/>
  <c r="J130" i="22"/>
  <c r="E689" i="19" s="1"/>
  <c r="B130" i="22"/>
  <c r="E670" i="19" s="1"/>
  <c r="H130" i="22"/>
  <c r="E307" i="19" s="1"/>
  <c r="P130" i="22"/>
  <c r="E481"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tc={40F91E8C-BD48-4DB1-BDE9-6D8AF76529C5}</author>
  </authors>
  <commentList>
    <comment ref="G27" authorId="0" shapeId="0" xr:uid="{40F91E8C-BD48-4DB1-BDE9-6D8AF76529C5}">
      <text>
        <t xml:space="preserve">[Threaded comment]
Your version of Excel allows you to read this threaded comment; however, any edits to it will get removed if the file is opened in a newer version of Excel. Learn more: https://go.microsoft.com/fwlink/?linkid=870924
Comment:
    [Mention was removed] , could we add somewhere in an update of the SI of the original the table where the link is made between what are these home textiles and technical home textiles: Steeds meer textiel in Nederland | CBS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<sst xmlns="http://schemas.openxmlformats.org/spreadsheetml/2006/main" count="26339" uniqueCount="2336">
  <si>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</si>
  <si>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</si>
  <si>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</si>
  <si>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</si>
  <si>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</si>
  <si>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</si>
  <si>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</si>
  <si>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</si>
  <si>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</si>
  <si>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</si>
  <si>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</si>
  <si>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</si>
  <si>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</si>
  <si>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</si>
  <si>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</si>
  <si>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</si>
  <si>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</si>
  <si>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</si>
  <si>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</si>
  <si>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</si>
  <si>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</si>
  <si>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</si>
  <si>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</si>
  <si>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</si>
  <si>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</si>
  <si>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</si>
  <si>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</si>
  <si>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</si>
  <si>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</si>
  <si>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</si>
  <si>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</si>
  <si>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</si>
  <si>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</si>
  <si>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</si>
  <si>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</si>
  <si>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</si>
  <si>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</si>
  <si>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</si>
  <si>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</si>
  <si>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</si>
  <si>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</si>
  <si>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</si>
  <si>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</si>
  <si>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</si>
  <si>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</si>
  <si>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</si>
  <si>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</si>
  <si>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</si>
  <si>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</si>
  <si>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</si>
  <si>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</si>
  <si>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</si>
  <si>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</si>
  <si>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</si>
  <si>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</si>
  <si>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</si>
  <si>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</si>
  <si>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</si>
  <si>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</si>
  <si>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</si>
  <si>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</si>
  <si>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</si>
  <si>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</si>
  <si>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</si>
  <si>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</si>
  <si>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</si>
  <si>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</si>
  <si>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</si>
  <si>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</si>
  <si>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</si>
  <si>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</si>
  <si>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</si>
  <si>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</si>
  <si>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</si>
  <si>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</si>
  <si>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</si>
  <si>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</si>
  <si>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</si>
  <si>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</si>
  <si>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</si>
  <si>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</si>
  <si>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</si>
  <si>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</si>
  <si>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</si>
  <si>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</si>
  <si>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</si>
  <si>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</si>
  <si>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</si>
  <si>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</si>
  <si>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</si>
  <si>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</si>
  <si>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</si>
  <si>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</si>
  <si>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</si>
  <si>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</si>
  <si>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</si>
  <si>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</si>
  <si>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</si>
  <si>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</si>
  <si>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</si>
  <si>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</si>
  <si>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</si>
  <si>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</si>
  <si>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</si>
  <si>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</si>
  <si>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</si>
  <si>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</si>
  <si>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</si>
  <si>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</si>
  <si>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</si>
  <si>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</si>
  <si>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</si>
  <si>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</si>
  <si>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</si>
  <si>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</si>
  <si>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</si>
  <si>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</si>
  <si>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</si>
  <si>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</si>
  <si>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</si>
  <si>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</si>
  <si>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</si>
  <si>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</si>
  <si>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</si>
  <si>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</si>
  <si>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</si>
  <si>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</si>
  <si>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</si>
  <si>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</si>
  <si>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</si>
  <si>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</si>
  <si>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</si>
  <si>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</si>
  <si>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</si>
  <si>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</si>
  <si>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</si>
  <si>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</si>
  <si>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</si>
  <si>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</si>
  <si>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</si>
  <si>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</si>
  <si>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</si>
  <si>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</si>
  <si>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</si>
  <si>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</si>
  <si>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</si>
  <si>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</si>
  <si>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</si>
  <si>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</si>
  <si>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</si>
  <si>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</si>
  <si>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</si>
  <si>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</si>
  <si>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</si>
  <si>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</si>
  <si>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</si>
  <si>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</si>
  <si>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</si>
  <si>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</si>
  <si>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</si>
  <si>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</si>
  <si>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</si>
  <si>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</si>
  <si>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</si>
  <si>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</si>
  <si>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</si>
  <si>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</si>
  <si>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</si>
  <si>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</si>
  <si>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</si>
  <si>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</si>
  <si>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</si>
  <si>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</si>
  <si>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</si>
  <si>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</si>
  <si>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</si>
  <si>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</si>
  <si>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</si>
  <si>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</si>
  <si>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</si>
  <si>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</si>
  <si>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</si>
  <si>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</si>
  <si>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</si>
  <si>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</si>
  <si>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</si>
  <si>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</si>
  <si>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</si>
  <si>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</si>
  <si>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</si>
  <si>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</si>
  <si>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</si>
  <si>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</si>
  <si>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</si>
  <si>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</si>
  <si>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</si>
  <si>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</si>
  <si>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</si>
  <si>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</si>
  <si>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</si>
  <si>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</si>
  <si>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</si>
  <si>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</si>
  <si>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</si>
  <si>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</si>
  <si>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</si>
  <si>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</si>
  <si>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</si>
  <si>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</si>
  <si>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</si>
  <si>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</si>
  <si>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</si>
  <si>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</si>
  <si>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</si>
  <si>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</si>
  <si>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</si>
  <si>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</si>
  <si>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</si>
  <si>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</si>
  <si>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</si>
  <si>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</si>
  <si>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</si>
  <si>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</si>
  <si>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</si>
  <si>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</si>
  <si>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</si>
  <si>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</si>
  <si>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</si>
  <si>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</si>
  <si>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</si>
  <si>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</si>
  <si>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</si>
  <si>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</si>
  <si>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</si>
  <si>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</si>
  <si>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</si>
  <si>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</si>
  <si>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</si>
  <si>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</si>
  <si>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</si>
  <si>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</si>
  <si>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</si>
  <si>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</si>
  <si>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</si>
  <si>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</si>
  <si>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</si>
  <si>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</si>
  <si>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</si>
  <si>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</si>
  <si>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</si>
  <si>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</si>
  <si>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</si>
  <si>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</si>
  <si>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</si>
  <si>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</si>
  <si>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</si>
  <si>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</si>
  <si>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</si>
  <si>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</si>
  <si>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</si>
  <si>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</si>
  <si>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</si>
  <si>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</si>
  <si>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</si>
  <si>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</si>
  <si>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</si>
  <si>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</si>
  <si>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</si>
  <si>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</si>
  <si>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</si>
  <si>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</si>
  <si>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</si>
  <si>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</si>
  <si>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</si>
  <si>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</si>
  <si>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</si>
  <si>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</si>
  <si>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</si>
  <si>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</si>
  <si>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</si>
  <si>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</si>
  <si>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</si>
  <si>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</si>
  <si>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</si>
  <si>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</si>
  <si>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</si>
  <si>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</si>
  <si>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</si>
  <si>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</si>
  <si>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</si>
  <si>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</si>
  <si>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</si>
  <si>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</si>
  <si>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</si>
  <si>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</si>
  <si>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</si>
  <si>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</si>
  <si>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</si>
  <si>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</si>
  <si>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</si>
  <si>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</si>
  <si>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</si>
  <si>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</si>
  <si>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</si>
  <si>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</si>
  <si>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</si>
  <si>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</si>
  <si>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</si>
  <si>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</si>
  <si>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</si>
  <si>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</si>
  <si>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</si>
  <si>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</si>
  <si>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</si>
  <si>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</si>
  <si>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</si>
  <si>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</si>
  <si>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</si>
  <si>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</si>
  <si>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</si>
  <si>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</si>
  <si>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</si>
  <si>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</si>
  <si>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</si>
  <si>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</si>
  <si>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</si>
  <si>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</si>
  <si>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</si>
  <si>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</si>
  <si>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</si>
  <si>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</si>
  <si>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</si>
  <si>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</si>
  <si>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</si>
  <si>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</si>
  <si>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</si>
  <si>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</si>
  <si>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</si>
  <si>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</si>
  <si>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</si>
  <si>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</si>
  <si>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</si>
  <si>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</si>
  <si>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</si>
  <si>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</si>
  <si>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</si>
  <si>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</si>
  <si>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</si>
  <si>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</si>
  <si>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</si>
  <si>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</si>
  <si>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</si>
  <si>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</si>
  <si>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</si>
  <si>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</si>
  <si>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</si>
  <si>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</si>
  <si>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</si>
  <si>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</si>
  <si>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</si>
  <si>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</si>
  <si>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</si>
  <si>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</si>
  <si>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</si>
  <si>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</si>
  <si>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</si>
  <si>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</si>
  <si>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</si>
  <si>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</si>
  <si>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</si>
  <si>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</si>
  <si>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</si>
  <si>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</si>
  <si>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</si>
  <si>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</si>
  <si>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</si>
  <si>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</si>
  <si>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</si>
  <si>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</si>
  <si>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</si>
  <si>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</si>
  <si>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</si>
  <si>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</si>
  <si>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</si>
  <si>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</si>
  <si>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</si>
  <si>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</si>
  <si>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</si>
  <si>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</si>
  <si>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</si>
  <si>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</si>
  <si>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</si>
  <si>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</si>
  <si>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</si>
  <si>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</si>
  <si>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</si>
  <si>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</si>
  <si>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</si>
  <si>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</si>
  <si>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</si>
  <si>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</si>
  <si>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</si>
  <si>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</si>
  <si>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</si>
  <si>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</si>
  <si>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</si>
  <si>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</si>
  <si>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</si>
  <si>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</si>
  <si>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</si>
  <si>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</si>
  <si>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</si>
  <si>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</si>
  <si>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</si>
  <si>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</si>
  <si>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</si>
  <si>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</si>
  <si>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</si>
  <si>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</si>
  <si>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</si>
  <si>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</si>
  <si>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</si>
  <si>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</si>
  <si>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</si>
  <si>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</si>
  <si>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</si>
  <si>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</si>
  <si>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</si>
  <si>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</si>
  <si>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</si>
  <si>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</si>
  <si>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</si>
  <si>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</si>
  <si>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</si>
  <si>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</si>
  <si>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</si>
  <si>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</si>
  <si>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</si>
  <si>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</si>
  <si>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</si>
  <si>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</si>
  <si>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</si>
  <si>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</si>
  <si>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</si>
  <si>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</si>
  <si>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</si>
  <si>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</si>
  <si>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</si>
  <si>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</si>
  <si>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</si>
  <si>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</si>
  <si>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</si>
  <si>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</si>
  <si>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</si>
  <si>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</si>
  <si>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</si>
  <si>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</si>
  <si>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</si>
  <si>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</si>
  <si>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</si>
  <si>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</si>
  <si>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</si>
  <si>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</si>
  <si>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</si>
  <si>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</si>
  <si>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</si>
  <si>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</si>
  <si>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</si>
  <si>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</si>
  <si>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</si>
  <si>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</si>
  <si>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</si>
  <si>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</si>
  <si>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</si>
  <si>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</si>
  <si>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</si>
  <si>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</si>
  <si>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</si>
  <si>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</si>
  <si>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</si>
  <si>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</si>
  <si>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</si>
  <si>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</si>
  <si>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</si>
  <si>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</si>
  <si>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</si>
  <si>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</si>
  <si>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</si>
  <si>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</si>
  <si>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</si>
  <si>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</si>
  <si>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</si>
  <si>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</si>
  <si>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</si>
  <si>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</si>
  <si>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</si>
  <si>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</si>
  <si>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</si>
  <si>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</si>
  <si>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</si>
  <si>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</si>
  <si>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</si>
  <si>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</si>
  <si>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</si>
  <si>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</si>
  <si>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</si>
  <si>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</si>
  <si>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</si>
  <si>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</si>
  <si>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</si>
  <si>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</si>
  <si>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</si>
  <si>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</si>
  <si>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</si>
  <si>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</si>
  <si>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</si>
  <si>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</si>
  <si>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</si>
  <si>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</si>
  <si>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</si>
  <si>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</si>
  <si>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</si>
  <si>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</si>
  <si>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</si>
  <si>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</si>
  <si>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</si>
  <si>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</si>
  <si>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</si>
  <si>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</si>
  <si>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</si>
  <si>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</si>
  <si>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</si>
  <si>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</si>
  <si>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</si>
  <si>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</si>
  <si>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</si>
  <si>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</si>
  <si>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</si>
  <si>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</si>
  <si>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</si>
  <si>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</si>
  <si>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</si>
  <si>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</si>
  <si>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</si>
  <si>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</si>
  <si>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</si>
  <si>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</si>
  <si>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</si>
  <si>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</si>
  <si>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</si>
  <si>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</si>
  <si>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</si>
  <si>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</si>
  <si>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</si>
  <si>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</si>
  <si>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</si>
  <si>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</si>
  <si>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</si>
  <si>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</si>
  <si>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</si>
  <si>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</si>
  <si>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</si>
  <si>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</si>
  <si>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</si>
  <si>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</si>
  <si>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</si>
  <si>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</si>
  <si>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</si>
  <si>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</si>
  <si>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</si>
  <si>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</si>
  <si>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</si>
  <si>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</si>
  <si>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</si>
  <si>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</si>
  <si>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</si>
  <si>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</si>
  <si>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</si>
  <si>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</si>
  <si>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</si>
  <si>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</si>
  <si>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</si>
  <si>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</si>
  <si>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</si>
  <si>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</si>
  <si>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</si>
  <si>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</si>
  <si>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</si>
  <si>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</si>
  <si>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</si>
  <si>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</si>
  <si>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</si>
  <si>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</si>
  <si>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</si>
  <si>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</si>
  <si>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</si>
  <si>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</si>
  <si>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</si>
  <si>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</si>
  <si>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</si>
  <si>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</si>
  <si>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</si>
  <si>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</si>
  <si>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</si>
  <si>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</si>
  <si>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</si>
  <si>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</si>
  <si>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</si>
  <si>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</si>
  <si>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</si>
  <si>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</si>
  <si>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</si>
  <si>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</si>
  <si>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</si>
  <si>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</si>
  <si>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</si>
  <si>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</si>
  <si>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</si>
  <si>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</si>
  <si>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</si>
  <si>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</si>
  <si>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</si>
  <si>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</si>
  <si>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</si>
  <si>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</si>
  <si>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</si>
  <si>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</si>
  <si>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</si>
  <si>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</si>
  <si>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</si>
  <si>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</si>
  <si>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</si>
  <si>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</si>
  <si>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</si>
  <si>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</si>
  <si>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</si>
  <si>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</si>
  <si>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</si>
  <si>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</si>
  <si>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</si>
  <si>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</si>
  <si>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</si>
  <si>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</si>
  <si>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</si>
  <si>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</si>
  <si>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</si>
  <si>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</si>
  <si>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</si>
  <si>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</si>
  <si>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</si>
  <si>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</si>
  <si>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</si>
  <si>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</si>
  <si>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</si>
  <si>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</si>
  <si>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</si>
  <si>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</si>
  <si>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</si>
  <si>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</si>
  <si>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</si>
  <si>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</si>
  <si>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</si>
  <si>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</si>
  <si>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</si>
  <si>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</si>
  <si>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</si>
  <si>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</si>
  <si>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</si>
  <si>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</si>
  <si>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</si>
  <si>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</si>
  <si>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</si>
  <si>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</si>
  <si>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</si>
  <si>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</si>
  <si>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</si>
  <si>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</si>
  <si>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</si>
  <si>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</si>
  <si>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</si>
  <si>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</si>
  <si>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</si>
  <si>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</si>
  <si>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</si>
  <si>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</si>
  <si>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</si>
  <si>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</si>
  <si>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</si>
  <si>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</si>
  <si>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</si>
  <si>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</si>
  <si>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</si>
  <si>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</si>
  <si>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</si>
  <si>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</si>
  <si>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</si>
  <si>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</si>
  <si>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</si>
  <si>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</si>
  <si>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</si>
  <si>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</si>
  <si>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</si>
  <si>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</si>
  <si>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</si>
  <si>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</si>
  <si>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</si>
  <si>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</si>
  <si>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</si>
  <si>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</si>
  <si>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</si>
  <si>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</si>
  <si>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</si>
  <si>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</si>
  <si>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</si>
  <si>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</si>
  <si>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</si>
  <si>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</si>
  <si>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</si>
  <si>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</si>
  <si>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</si>
  <si>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</si>
  <si>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</si>
  <si>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</si>
  <si>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</si>
  <si>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</si>
  <si>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</si>
  <si>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</si>
  <si>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</si>
  <si>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</si>
  <si>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</si>
  <si>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</si>
  <si>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</si>
  <si>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</si>
  <si>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</si>
  <si>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</si>
  <si>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</si>
  <si>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</si>
  <si>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</si>
  <si>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</si>
  <si>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</si>
  <si>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</si>
  <si>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</si>
  <si>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</si>
  <si>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</si>
  <si>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</si>
  <si>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</si>
  <si>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</si>
  <si>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</si>
  <si>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</si>
  <si>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</si>
  <si>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</si>
  <si>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</si>
  <si>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</si>
  <si>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</si>
  <si>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</si>
  <si>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</si>
  <si>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</si>
  <si>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</si>
  <si>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</si>
  <si>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</si>
  <si>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</si>
  <si>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</si>
  <si>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</si>
  <si>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</si>
  <si>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</si>
  <si>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</si>
  <si>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</si>
  <si>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</si>
  <si>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</si>
  <si>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</si>
  <si>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</si>
  <si>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</si>
  <si>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</si>
  <si>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</si>
  <si>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</si>
  <si>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</si>
  <si>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</si>
  <si>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</si>
  <si>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</si>
  <si>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</si>
  <si>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</si>
  <si>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</si>
  <si>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</si>
  <si>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</si>
  <si>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</si>
  <si>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</si>
  <si>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</si>
  <si>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</si>
  <si>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</si>
  <si>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</si>
  <si>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</si>
  <si>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</si>
  <si>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</si>
  <si>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</si>
  <si>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</si>
  <si>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</si>
  <si>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</si>
  <si>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</si>
  <si>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</si>
  <si>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</si>
  <si>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</si>
  <si>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</si>
  <si>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</si>
  <si>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</si>
  <si>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</si>
  <si>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</si>
  <si>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</si>
  <si>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</si>
  <si>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</si>
  <si>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</si>
  <si>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</si>
  <si>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</si>
  <si>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</si>
  <si>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</si>
  <si>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</si>
  <si>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</si>
  <si>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</si>
  <si>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</si>
  <si>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</si>
  <si>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</si>
  <si>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</si>
  <si>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</si>
  <si>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</si>
  <si>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</si>
  <si>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</si>
  <si>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</si>
  <si>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</si>
  <si>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</si>
  <si>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</si>
  <si>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</si>
  <si>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</si>
  <si>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</si>
  <si>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</si>
  <si>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</si>
  <si>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</si>
  <si>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</si>
  <si>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</si>
  <si>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</si>
  <si>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</si>
  <si>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</si>
  <si>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</si>
  <si>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</si>
  <si>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</si>
  <si>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</si>
  <si>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</si>
  <si>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</si>
  <si>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</si>
  <si>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</si>
  <si>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</si>
  <si>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</si>
  <si>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</si>
  <si>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</si>
  <si>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</si>
  <si>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</si>
  <si>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</si>
  <si>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</si>
  <si>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</si>
  <si>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</si>
  <si>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</si>
  <si>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</si>
  <si>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</si>
  <si>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</si>
  <si>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</si>
  <si>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</si>
  <si>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</si>
  <si>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</si>
  <si>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</si>
  <si>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</si>
  <si>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</si>
  <si>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</si>
  <si>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</si>
  <si>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</si>
  <si>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</si>
  <si>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</si>
  <si>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</si>
  <si>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</si>
  <si>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</si>
  <si>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</si>
  <si>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</si>
  <si>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</si>
  <si>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</si>
  <si>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</si>
  <si>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</si>
  <si>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</si>
  <si>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</si>
  <si>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</si>
  <si>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</si>
  <si>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</si>
  <si>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</si>
  <si>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</si>
  <si>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</si>
  <si>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</si>
  <si>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</si>
  <si>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</si>
  <si>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</si>
  <si>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</si>
  <si>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</si>
  <si>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</si>
  <si>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</si>
  <si>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</si>
  <si>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</si>
  <si>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</si>
  <si>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</si>
  <si>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</si>
  <si>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</si>
  <si>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</si>
  <si>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</si>
  <si>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</si>
  <si>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</si>
  <si>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</si>
  <si>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</si>
  <si>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</si>
  <si>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</si>
  <si>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</si>
  <si>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</si>
  <si>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</si>
  <si>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</si>
  <si>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</si>
  <si>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</si>
  <si>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</si>
  <si>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</si>
  <si>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</si>
  <si>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</si>
  <si>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</si>
  <si>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</si>
  <si>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</si>
  <si>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</si>
  <si>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</si>
  <si>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</si>
  <si>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</si>
  <si>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</si>
  <si>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</si>
  <si>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</si>
  <si>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</si>
  <si>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</si>
  <si>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</si>
  <si>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</si>
  <si>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</si>
  <si>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</si>
  <si>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</si>
  <si>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</si>
  <si>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</si>
  <si>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</si>
  <si>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</si>
  <si>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</si>
  <si>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</si>
  <si>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</si>
  <si>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</si>
  <si>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</si>
  <si>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</si>
  <si>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</si>
  <si>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</si>
  <si>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</si>
  <si>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</si>
  <si>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</si>
  <si>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</si>
  <si>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</si>
  <si>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</si>
  <si>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</si>
  <si>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</si>
  <si>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</si>
  <si>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</si>
  <si>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</si>
  <si>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</si>
  <si>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</si>
  <si>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</si>
  <si>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</si>
  <si>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</si>
  <si>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</si>
  <si>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</si>
  <si>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</si>
  <si>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</si>
  <si>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</si>
  <si>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</si>
  <si>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</si>
  <si>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</si>
  <si>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</si>
  <si>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</si>
  <si>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</si>
  <si>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</si>
  <si>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</si>
  <si>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</si>
  <si>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</si>
  <si>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</si>
  <si>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</si>
  <si>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</si>
  <si>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</si>
  <si>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</si>
  <si>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</si>
  <si>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</si>
  <si>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</si>
  <si>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</si>
  <si>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</si>
  <si>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</si>
  <si>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</si>
  <si>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</si>
  <si>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</si>
  <si>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</si>
  <si>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</si>
  <si>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</si>
  <si>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</si>
  <si>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</si>
  <si>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</si>
  <si>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</si>
  <si>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</si>
  <si>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</si>
  <si>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</si>
  <si>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</si>
  <si>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</si>
  <si>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</si>
  <si>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</si>
  <si>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</si>
  <si>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</si>
  <si>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</si>
  <si>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</si>
  <si>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</si>
  <si>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</si>
  <si>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</si>
  <si>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</si>
  <si>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</si>
  <si>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</si>
  <si>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</si>
  <si>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</si>
  <si>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</si>
  <si>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</si>
  <si>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</si>
  <si>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</si>
  <si>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</si>
  <si>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</si>
  <si>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</si>
  <si>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</si>
  <si>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</si>
  <si>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</si>
  <si>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</si>
  <si>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</si>
  <si>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</si>
  <si>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</si>
  <si>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</si>
  <si>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</si>
  <si>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</si>
  <si>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</si>
  <si>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</si>
  <si>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</si>
  <si>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</si>
  <si>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</si>
  <si>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</si>
  <si>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</si>
  <si>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</si>
  <si>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</si>
  <si>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</si>
  <si>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</si>
  <si>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</si>
  <si>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</si>
  <si>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</si>
  <si>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</si>
  <si>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</si>
  <si>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</si>
  <si>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</si>
  <si>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</si>
  <si>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</si>
  <si>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</si>
  <si>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</si>
  <si>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</si>
  <si>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</si>
  <si>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</si>
  <si>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</si>
  <si>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</si>
  <si>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</si>
  <si>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</si>
  <si>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</si>
  <si>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</si>
  <si>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</si>
  <si>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</si>
  <si>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</si>
  <si>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</si>
  <si>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</si>
  <si>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</si>
  <si>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</si>
  <si>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</si>
  <si>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</si>
  <si>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</si>
  <si>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</si>
  <si>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</si>
  <si>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</si>
  <si>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</si>
  <si>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</si>
  <si>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</si>
  <si>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</si>
  <si>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</si>
  <si>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</si>
  <si>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</si>
  <si>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</si>
  <si>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</si>
  <si>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</si>
  <si>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</si>
  <si>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</si>
  <si>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</si>
  <si>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</si>
  <si>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</si>
  <si>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</si>
  <si>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</si>
  <si>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</si>
  <si>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</si>
  <si>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</si>
  <si>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</si>
  <si>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</si>
  <si>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</si>
  <si>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</si>
  <si>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</si>
  <si>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</si>
  <si>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</si>
  <si>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</si>
  <si>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</si>
  <si>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</si>
  <si>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</si>
  <si>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</si>
  <si>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</si>
  <si>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</si>
  <si>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</si>
  <si>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</si>
  <si>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</si>
  <si>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</si>
  <si>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</si>
  <si>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</si>
  <si>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</si>
  <si>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</si>
  <si>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</si>
  <si>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</si>
  <si>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</si>
  <si>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</si>
  <si>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</si>
  <si>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</si>
  <si>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</si>
  <si>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</si>
  <si>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</si>
  <si>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</si>
  <si>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</si>
  <si>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</si>
  <si>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</si>
  <si>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</si>
  <si>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</si>
  <si>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</si>
  <si>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</si>
  <si>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</si>
  <si>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</si>
  <si>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</si>
  <si>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</si>
  <si>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</si>
  <si>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</si>
  <si>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</si>
  <si>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</si>
  <si>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</si>
  <si>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</si>
  <si>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</si>
  <si>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</si>
  <si>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</si>
  <si>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</si>
  <si>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</si>
  <si>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</si>
  <si>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</si>
  <si>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</si>
  <si>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</si>
  <si>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</si>
  <si>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</si>
  <si>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</si>
  <si>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</si>
  <si>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</si>
  <si>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</si>
  <si>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</si>
  <si>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</si>
  <si>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</si>
  <si>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</si>
  <si>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</si>
  <si>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</si>
  <si>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</si>
  <si>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</si>
  <si>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</si>
  <si>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</si>
  <si>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</si>
  <si>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</si>
  <si>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</si>
  <si>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</si>
  <si>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</si>
  <si>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</si>
  <si>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</si>
  <si>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</si>
  <si>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</si>
  <si>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</si>
  <si>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</si>
  <si>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</si>
  <si>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</si>
  <si>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</si>
  <si>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</si>
  <si>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</si>
  <si>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</si>
  <si>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</si>
  <si>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</si>
  <si>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</si>
  <si>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</si>
  <si>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</si>
  <si>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</si>
  <si>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</si>
  <si>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</si>
  <si>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</si>
  <si>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</si>
  <si>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</si>
  <si>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</si>
  <si>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</si>
  <si>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</si>
  <si>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</si>
  <si>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</si>
  <si>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</si>
  <si>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</si>
  <si>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</si>
  <si>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</si>
  <si>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</si>
  <si>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</si>
  <si>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</si>
  <si>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</si>
  <si>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</si>
  <si>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</si>
  <si>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</si>
  <si>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</si>
  <si>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</si>
  <si>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</si>
  <si>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</si>
  <si>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</si>
  <si>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</si>
  <si>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</si>
  <si>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</si>
  <si>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</si>
  <si>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</si>
  <si>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</si>
  <si>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</si>
  <si>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</si>
  <si>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</si>
  <si>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</si>
  <si>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</si>
  <si>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</si>
  <si>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</si>
  <si>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</si>
  <si>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</si>
  <si>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</si>
  <si>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</si>
  <si>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</si>
  <si>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</si>
  <si>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</si>
  <si>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</si>
  <si>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</si>
  <si>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</si>
  <si>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</si>
  <si>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</si>
  <si>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</si>
  <si>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</si>
  <si>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</si>
  <si>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</si>
  <si>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</si>
  <si>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</si>
  <si>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</si>
  <si>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</si>
  <si>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</si>
  <si>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</si>
  <si>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</si>
  <si>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</si>
  <si>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</si>
  <si>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</si>
  <si>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</si>
  <si>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</si>
  <si>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</si>
  <si>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</si>
  <si>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</si>
  <si>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</si>
  <si>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</si>
  <si>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</si>
  <si>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</si>
  <si>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</si>
  <si>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</si>
  <si>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</si>
  <si>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</si>
  <si>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</si>
  <si>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</si>
  <si>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</si>
  <si>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</si>
  <si>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</si>
  <si>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</si>
  <si>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</si>
  <si>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</si>
  <si>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</si>
  <si>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</si>
  <si>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</si>
  <si>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</si>
  <si>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</si>
  <si>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</si>
  <si>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</si>
  <si>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</si>
  <si>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</si>
  <si>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</si>
  <si>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</si>
  <si>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</si>
  <si>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</si>
  <si>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</si>
  <si>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</si>
  <si>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</si>
  <si>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</si>
  <si>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</si>
  <si>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</si>
  <si>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</si>
  <si>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</si>
  <si>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</si>
  <si>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</si>
  <si>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</si>
  <si>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</si>
  <si>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</si>
  <si>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</si>
  <si>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</si>
  <si>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</si>
  <si>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</si>
  <si>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</si>
  <si>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</si>
  <si>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</si>
  <si>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</si>
  <si>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</si>
  <si>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</si>
  <si>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</si>
  <si>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</si>
  <si>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</si>
  <si>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</si>
  <si>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</si>
  <si>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</si>
  <si>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</si>
  <si>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</si>
  <si>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</si>
  <si>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</si>
  <si>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</si>
  <si>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</si>
  <si>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</si>
  <si>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</si>
  <si>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</si>
  <si>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</si>
  <si>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</si>
  <si>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</si>
  <si>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</si>
  <si>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</si>
  <si>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</si>
  <si>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</si>
  <si>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</si>
  <si>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</si>
  <si>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</si>
  <si>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</si>
  <si>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</si>
  <si>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</si>
  <si>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</si>
  <si>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</si>
  <si>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</si>
  <si>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</si>
  <si>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</si>
  <si>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</si>
  <si>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</si>
  <si>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</si>
  <si>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</si>
  <si>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</si>
  <si>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</si>
  <si>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</si>
  <si>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</si>
  <si>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</si>
  <si>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</si>
  <si>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</si>
  <si>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</si>
  <si>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</si>
  <si>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</si>
  <si>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</si>
  <si>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</si>
  <si>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</si>
  <si>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</si>
  <si>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</si>
  <si>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</si>
  <si>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</si>
  <si>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</si>
  <si>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</si>
  <si>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</si>
  <si>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</si>
  <si>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</si>
  <si>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</si>
  <si>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</si>
  <si>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</si>
  <si>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</si>
  <si>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</si>
  <si>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</si>
  <si>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</si>
  <si>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</si>
  <si>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</si>
  <si>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</si>
  <si>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</si>
  <si>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</si>
  <si>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</si>
  <si>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</si>
  <si>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</si>
  <si>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</si>
  <si>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</si>
  <si>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</si>
  <si>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</si>
  <si>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</si>
  <si>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</si>
  <si>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</si>
  <si>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</si>
  <si>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</si>
  <si>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</si>
  <si>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</si>
  <si>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</si>
  <si>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</si>
  <si>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</si>
  <si>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</si>
  <si>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</si>
  <si>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</si>
  <si>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</si>
  <si>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</si>
  <si>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</si>
  <si>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</si>
  <si>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</si>
  <si>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</si>
  <si>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</si>
  <si>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</si>
  <si>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</si>
  <si>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</si>
  <si>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</si>
  <si>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</si>
  <si>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</si>
  <si>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</si>
  <si>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</si>
  <si>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</si>
  <si>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</si>
  <si>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</si>
  <si>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</si>
  <si>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</si>
  <si>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</si>
  <si>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</si>
  <si>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</si>
  <si>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</si>
  <si>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</si>
  <si>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</si>
  <si>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</si>
  <si>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</si>
  <si>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</si>
  <si>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</si>
  <si>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</si>
  <si>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</si>
  <si>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</si>
  <si>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</si>
  <si>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</si>
  <si>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</si>
  <si>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</si>
  <si>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</si>
  <si>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</si>
  <si>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</si>
  <si>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</si>
  <si>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</si>
  <si>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</si>
  <si>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</si>
  <si>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</si>
  <si>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</si>
  <si>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</si>
  <si>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</si>
  <si>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</si>
  <si>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</si>
  <si>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</si>
  <si>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</si>
  <si>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</si>
  <si>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</si>
  <si>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</si>
  <si>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</si>
  <si>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</si>
  <si>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</si>
  <si>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</si>
  <si>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</si>
  <si>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</si>
  <si>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</si>
  <si>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</si>
  <si>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</si>
  <si>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</si>
  <si>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</si>
  <si>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</si>
  <si>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</si>
  <si>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</si>
  <si>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</si>
  <si>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</si>
  <si>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</si>
  <si>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</si>
  <si>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</si>
  <si>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</si>
  <si>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</si>
  <si>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</si>
  <si>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</si>
  <si>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</si>
  <si>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</si>
  <si>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</si>
  <si>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</si>
  <si>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</si>
  <si>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</si>
  <si>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</si>
  <si>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</si>
  <si>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</si>
  <si>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</si>
  <si>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</si>
  <si>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</si>
  <si>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</si>
  <si>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</si>
  <si>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</si>
  <si>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</si>
  <si>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</si>
  <si>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</si>
  <si>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</si>
  <si>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</si>
  <si>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</si>
  <si>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</si>
  <si>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</si>
  <si>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</si>
  <si>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</si>
  <si>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</si>
  <si>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</si>
  <si>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</si>
  <si>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</si>
  <si>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</si>
  <si>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</si>
  <si>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</si>
  <si>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</si>
  <si>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</si>
  <si>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</si>
  <si>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</si>
  <si>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</si>
  <si>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</si>
  <si>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</si>
  <si>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</si>
  <si>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</si>
  <si>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</si>
  <si>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</si>
  <si>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</si>
  <si>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</si>
  <si>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</si>
  <si>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</si>
  <si>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</si>
  <si>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</si>
  <si>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</si>
  <si>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</si>
  <si>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</si>
  <si>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</si>
  <si>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</si>
  <si>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</si>
  <si>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</si>
  <si>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</si>
  <si>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</si>
  <si>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</si>
  <si>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</si>
  <si>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</si>
  <si>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</si>
  <si>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</si>
  <si>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</si>
  <si>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</si>
  <si>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</si>
  <si>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</si>
  <si>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</si>
  <si>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</si>
  <si>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</si>
  <si>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</si>
  <si>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</si>
  <si>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</si>
  <si>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</si>
  <si>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</si>
  <si>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</si>
  <si>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</si>
  <si>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</si>
  <si>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</si>
  <si>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</si>
  <si>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</si>
  <si>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</si>
  <si>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</si>
  <si>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</si>
  <si>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</si>
  <si>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</si>
  <si>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</si>
  <si>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</si>
  <si>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</si>
  <si>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</si>
  <si>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</si>
  <si>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</si>
  <si>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</si>
  <si>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</si>
  <si>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</si>
  <si>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</si>
  <si>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</si>
  <si>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</si>
  <si>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</si>
  <si>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</si>
  <si>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</si>
  <si>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</si>
  <si>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</si>
  <si>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</si>
  <si>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</si>
  <si>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</si>
  <si>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</si>
  <si>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</si>
  <si>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</si>
  <si>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</si>
  <si>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</si>
  <si>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</si>
  <si>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</si>
  <si>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</si>
  <si>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</si>
  <si>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</si>
  <si>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</si>
  <si>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</si>
  <si>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</si>
  <si>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</si>
  <si>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</si>
  <si>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</si>
  <si>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</si>
  <si>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</si>
  <si>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</si>
  <si>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</si>
  <si>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</si>
  <si>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</si>
  <si>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</si>
  <si>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</si>
  <si>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</si>
  <si>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</si>
  <si>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</si>
  <si>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</si>
  <si>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</si>
  <si>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</si>
  <si>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</si>
  <si>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</si>
  <si>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</si>
  <si>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</si>
  <si>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</si>
  <si>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</si>
  <si>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</si>
  <si>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</si>
  <si>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</si>
  <si>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</si>
  <si>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</si>
  <si>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</si>
  <si>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</si>
  <si>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</si>
  <si>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</si>
  <si>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</si>
  <si>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</si>
  <si>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</si>
  <si>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</si>
  <si>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</si>
  <si>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</si>
  <si>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</si>
  <si>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</si>
  <si>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</si>
  <si>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</si>
  <si>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</si>
  <si>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</si>
  <si>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</si>
  <si>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</si>
  <si>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</si>
  <si>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</si>
  <si>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</si>
  <si>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</si>
  <si>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</si>
  <si>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</si>
  <si>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</si>
  <si>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</si>
  <si>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</si>
  <si>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</si>
  <si>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</si>
  <si>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</si>
  <si>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</si>
  <si>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</si>
  <si>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</si>
  <si>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</si>
  <si>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</si>
  <si>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</si>
  <si>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</si>
  <si>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</si>
  <si>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</si>
  <si>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</si>
  <si>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</si>
  <si>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</si>
  <si>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</si>
  <si>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</si>
  <si>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</si>
  <si>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</si>
  <si>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</si>
  <si>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</si>
  <si>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</si>
  <si>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</si>
  <si>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</si>
  <si>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</si>
  <si>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</si>
  <si>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</si>
  <si>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</si>
  <si>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</si>
  <si>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</si>
  <si>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</si>
  <si>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</si>
  <si>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</si>
  <si>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</si>
  <si>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</si>
  <si>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</si>
  <si>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</si>
  <si>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</si>
  <si>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</si>
  <si>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</si>
  <si>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</si>
  <si>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</si>
  <si>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</si>
  <si>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</si>
  <si>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</si>
  <si>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</si>
  <si>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</si>
  <si>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</si>
  <si>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</si>
  <si>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</si>
  <si>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</si>
  <si>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</si>
  <si>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</si>
  <si>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</si>
  <si>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</si>
  <si>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</si>
  <si>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</si>
  <si>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</si>
  <si>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</si>
  <si>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</si>
  <si>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</si>
  <si>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</si>
  <si>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</si>
  <si>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</si>
  <si>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</si>
  <si>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</si>
  <si>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</si>
  <si>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</si>
  <si>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</si>
  <si>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</si>
  <si>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</si>
  <si>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</si>
  <si>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</si>
  <si>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</si>
  <si>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</si>
  <si>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</si>
  <si>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</si>
  <si>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</si>
  <si>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</si>
  <si>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</si>
  <si>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</si>
  <si>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</si>
  <si>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</si>
  <si>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</si>
  <si>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</si>
  <si>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</si>
  <si>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</si>
  <si>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</si>
  <si>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</si>
  <si>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</si>
  <si>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</si>
  <si>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</si>
  <si>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</si>
  <si>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</si>
  <si>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</si>
  <si>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</si>
  <si>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</si>
  <si>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</si>
  <si>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</si>
  <si>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</si>
  <si>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</si>
  <si>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</si>
  <si>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</si>
  <si>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</si>
  <si>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</si>
  <si>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</si>
  <si>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</si>
  <si>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</si>
  <si>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</si>
  <si>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</si>
  <si>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</si>
  <si>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</si>
  <si>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</si>
  <si>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</si>
  <si>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</si>
  <si>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</si>
  <si>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</si>
  <si>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</si>
  <si>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</si>
  <si>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</si>
  <si>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</si>
  <si>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</si>
  <si>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</si>
  <si>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</si>
  <si>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</si>
  <si>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</si>
  <si>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</si>
  <si>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</si>
  <si>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</si>
  <si>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</si>
  <si>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</si>
  <si>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</si>
  <si>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</si>
  <si>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</si>
  <si>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</si>
  <si>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</si>
  <si>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</si>
  <si>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</si>
  <si>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</si>
  <si>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</si>
  <si>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</si>
  <si>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</si>
  <si>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</si>
  <si>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</si>
  <si>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</si>
  <si>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</si>
  <si>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</si>
  <si>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</si>
  <si>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</si>
  <si>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</si>
  <si>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</si>
  <si>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</si>
  <si>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</si>
  <si>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</si>
  <si>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</si>
  <si>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</si>
  <si>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</si>
  <si>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</si>
  <si>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</si>
  <si>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</si>
  <si>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</si>
  <si>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</si>
  <si>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</si>
  <si>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</si>
  <si>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</si>
  <si>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</si>
  <si>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</si>
  <si>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</si>
  <si>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</si>
  <si>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</si>
  <si>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</si>
  <si>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</si>
  <si>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</si>
  <si>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</si>
  <si>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</si>
  <si>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</si>
  <si>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</si>
  <si>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</si>
  <si>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</si>
  <si>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</si>
  <si>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</si>
  <si>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</si>
  <si>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</si>
  <si>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</si>
  <si>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</si>
  <si>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</si>
  <si>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</si>
  <si>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</si>
  <si>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</si>
  <si>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</si>
  <si>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</si>
  <si>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</si>
  <si>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</si>
  <si>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</si>
  <si>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</si>
  <si>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</si>
  <si>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</si>
  <si>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</si>
  <si>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</si>
  <si>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</si>
  <si>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</si>
  <si>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</si>
  <si>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</si>
  <si>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</si>
  <si>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</si>
  <si>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</si>
  <si>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</si>
  <si>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</si>
  <si>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</si>
  <si>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</si>
  <si>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</si>
  <si>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</si>
  <si>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</si>
  <si>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</si>
  <si>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</si>
  <si>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</si>
  <si>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</si>
  <si>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</si>
  <si>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</si>
  <si>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</si>
  <si>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</si>
  <si>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</si>
  <si>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</si>
  <si>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</si>
  <si>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</si>
  <si>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</si>
  <si>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</si>
  <si>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</si>
  <si>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</si>
  <si>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</si>
  <si>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</si>
  <si>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</si>
  <si>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</si>
  <si>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</si>
  <si>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</si>
  <si>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</si>
  <si>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</si>
  <si>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</si>
  <si>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</si>
  <si>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</si>
  <si>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</si>
  <si>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</si>
  <si>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</si>
  <si>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</si>
  <si>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</si>
  <si>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</si>
  <si>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</si>
  <si>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</si>
  <si>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</si>
  <si>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</si>
  <si>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</si>
  <si>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</si>
  <si>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</si>
  <si>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</si>
  <si>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</si>
  <si>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</si>
  <si>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</si>
  <si>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</si>
  <si>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</si>
  <si>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</si>
  <si>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</si>
  <si>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</si>
  <si>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</si>
  <si>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</si>
  <si>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</si>
  <si>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</si>
  <si>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</si>
  <si>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</si>
  <si>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</si>
  <si>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</si>
  <si>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</si>
  <si>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</si>
  <si>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</si>
  <si>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</si>
  <si>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</si>
  <si>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</si>
  <si>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</si>
  <si>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</si>
  <si>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</si>
  <si>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</si>
  <si>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</si>
  <si>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</si>
  <si>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</si>
  <si>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</si>
  <si>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</si>
  <si>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</si>
  <si>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</si>
  <si>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</si>
  <si>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</si>
  <si>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</si>
  <si>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</si>
  <si>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</si>
  <si>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</si>
  <si>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</si>
  <si>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</si>
  <si>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</si>
  <si>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</si>
  <si>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</si>
  <si>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</si>
  <si>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</si>
  <si>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</si>
  <si>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</si>
  <si>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</si>
  <si>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</si>
  <si>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</si>
  <si>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</si>
  <si>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</si>
  <si>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</si>
  <si>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</si>
  <si>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</si>
  <si>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</si>
  <si>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</si>
  <si>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</si>
  <si>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</si>
  <si>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</si>
  <si>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</si>
  <si>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</si>
  <si>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</si>
  <si>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</si>
  <si>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</si>
  <si>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</si>
  <si>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</si>
  <si>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</si>
  <si>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</si>
  <si>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</si>
  <si>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</si>
  <si>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</si>
  <si>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</si>
  <si>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</si>
  <si>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</si>
  <si>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</si>
  <si>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</si>
  <si>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</si>
  <si>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</si>
  <si>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</si>
  <si>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</si>
  <si>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</si>
  <si>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</si>
  <si>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</si>
  <si>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</si>
  <si>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</si>
  <si>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</si>
  <si>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</si>
  <si>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</si>
  <si>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</si>
  <si>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</si>
  <si>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</si>
  <si>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</si>
  <si>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</si>
  <si>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</si>
  <si>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</si>
  <si>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</si>
  <si>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</si>
  <si>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</si>
  <si>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</si>
  <si>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</si>
  <si>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</si>
  <si>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</si>
  <si>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</si>
  <si>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</si>
  <si>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</si>
  <si>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</si>
  <si>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</si>
  <si>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</si>
  <si>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</si>
  <si>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</si>
  <si>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</si>
  <si>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</si>
  <si>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</si>
  <si>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</si>
  <si>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</si>
  <si>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</si>
  <si>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</si>
  <si>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</si>
  <si>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</si>
  <si>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</si>
  <si>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</si>
  <si>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</si>
  <si>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</si>
  <si>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</si>
  <si>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</si>
  <si>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</si>
  <si>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</si>
  <si>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</si>
  <si>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</si>
  <si>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</si>
  <si>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</si>
  <si>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</si>
  <si>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</si>
  <si>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</si>
  <si>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</si>
  <si>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</si>
  <si>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</si>
  <si>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</si>
  <si>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</si>
  <si>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</si>
  <si>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</si>
  <si>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</si>
  <si>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</si>
  <si>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 xml:space="preserve">TCs for clothing that is washed </t>
  </si>
  <si>
    <t>Clothing category</t>
  </si>
  <si>
    <t xml:space="preserve">TCs for clothing that is not washed </t>
  </si>
  <si>
    <t>Discarded fraction non-washed</t>
  </si>
  <si>
    <t>Transfer coefficients EU</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</si>
  <si>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</si>
  <si>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</si>
  <si>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</si>
  <si>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</si>
  <si>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</si>
  <si>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</si>
  <si>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</si>
  <si>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</si>
  <si>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</si>
  <si>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</si>
  <si>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</si>
  <si>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</si>
  <si>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</si>
  <si>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</si>
  <si>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</si>
  <si>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</si>
  <si>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</si>
  <si>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</si>
  <si>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</si>
  <si>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</si>
  <si>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</si>
  <si>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</si>
  <si>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</si>
  <si>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</si>
  <si>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</si>
  <si>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</si>
  <si>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</si>
  <si>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</si>
  <si>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</si>
  <si>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</si>
  <si>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</si>
  <si>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</si>
  <si>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</si>
  <si>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</si>
  <si>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</si>
  <si>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</si>
  <si>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</si>
  <si>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</si>
  <si>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</si>
  <si>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</si>
  <si>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</si>
  <si>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</si>
  <si>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</si>
  <si>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</si>
  <si>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</si>
  <si>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</si>
  <si>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</si>
  <si>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</si>
  <si>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</si>
  <si>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</si>
  <si>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</si>
  <si>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</si>
  <si>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</si>
  <si>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</si>
  <si>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</si>
  <si>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</si>
  <si>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</si>
  <si>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</si>
  <si>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</si>
  <si>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</si>
  <si>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</si>
  <si>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</si>
  <si>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</si>
  <si>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</si>
  <si>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</si>
  <si>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</si>
  <si>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</si>
  <si>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</si>
  <si>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</si>
  <si>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</si>
  <si>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</si>
  <si>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</si>
  <si>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</si>
  <si>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</si>
  <si>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</si>
  <si>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ClothingTwoYears</t>
  </si>
  <si>
    <t>ClothingThreeYears</t>
  </si>
  <si>
    <t>ClothingFourYears</t>
  </si>
  <si>
    <t>ClothingFiveYears</t>
  </si>
  <si>
    <t>ClothingSixYears</t>
  </si>
  <si>
    <t>ClothingSevenYears</t>
  </si>
  <si>
    <t>ClothingEightYears</t>
  </si>
  <si>
    <t>Original lifetime clothing</t>
  </si>
  <si>
    <t>Weight factor</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</si>
  <si>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</si>
  <si>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</si>
  <si>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</si>
  <si>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</si>
  <si>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</si>
  <si>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</si>
  <si>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</si>
  <si>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</si>
  <si>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</si>
  <si>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</si>
  <si>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</si>
  <si>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</si>
  <si>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</si>
  <si>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</si>
  <si>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</si>
  <si>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</si>
  <si>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</si>
  <si>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</si>
  <si>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</si>
  <si>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</si>
  <si>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</si>
  <si>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</si>
  <si>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</si>
  <si>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</si>
  <si>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</si>
  <si>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</si>
  <si>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</si>
  <si>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</si>
  <si>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</si>
  <si>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</si>
  <si>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</si>
  <si>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</si>
  <si>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</si>
  <si>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</si>
  <si>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</si>
  <si>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</si>
  <si>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</si>
  <si>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</si>
  <si>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</si>
  <si>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</si>
  <si>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</si>
  <si>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</si>
  <si>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</si>
  <si>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</si>
  <si>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</si>
  <si>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</si>
  <si>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</si>
  <si>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</si>
  <si>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</si>
  <si>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</si>
  <si>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</si>
  <si>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</si>
  <si>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</si>
  <si>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</si>
  <si>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</si>
  <si>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</si>
  <si>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</si>
  <si>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</si>
  <si>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</si>
  <si>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</si>
  <si>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</si>
  <si>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</si>
  <si>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</si>
  <si>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</si>
  <si>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</si>
  <si>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</si>
  <si>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</si>
  <si>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</si>
  <si>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</si>
  <si>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</si>
  <si>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</si>
  <si>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</si>
  <si>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</si>
  <si>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</si>
  <si>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</si>
  <si>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</si>
  <si>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</si>
  <si>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</si>
  <si>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</si>
  <si>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</si>
  <si>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</si>
  <si>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</si>
  <si>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</si>
  <si>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</si>
  <si>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</si>
  <si>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</si>
  <si>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</si>
  <si>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</si>
  <si>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</si>
  <si>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</si>
  <si>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</si>
  <si>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</si>
  <si>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</si>
  <si>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</si>
  <si>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</si>
  <si>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</si>
  <si>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</si>
  <si>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</si>
  <si>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</si>
  <si>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</si>
  <si>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</si>
  <si>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</si>
  <si>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</si>
  <si>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</si>
  <si>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</si>
  <si>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</si>
  <si>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</si>
  <si>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</si>
  <si>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</si>
  <si>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</si>
  <si>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</si>
  <si>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</si>
  <si>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</si>
  <si>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</si>
  <si>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</si>
  <si>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</si>
  <si>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25% van de schoenen wordt gescheiden ingezameld</t>
  </si>
  <si>
    <t>10% van de gescheiden ingezamelde schoenen wordt hergebruikt in NL of Europa</t>
  </si>
  <si>
    <t>Recyclaat wordt gebruikt voor laagwaardige producten</t>
  </si>
  <si>
    <t>(de Waart et al., 2023)</t>
  </si>
  <si>
    <t>Assume 0.01% recycling based on barely any collected footwear is recycled (de Waart et al., 2023)</t>
  </si>
  <si>
    <t>Er worden nauwelijks schoenen gerecycled uit de gescheiden ingezamelde schoenen. Vooral onverkochte/defecte voorraad wordt gerecycled. Ongeveer 5%</t>
  </si>
  <si>
    <t>Verkenning schoenketen (de Waart et al., 2023)</t>
  </si>
  <si>
    <t>Laitala et al. (2018)</t>
  </si>
  <si>
    <t>Total shoe consumption mass in 2019 (low)</t>
  </si>
  <si>
    <t>TC (low)</t>
  </si>
  <si>
    <t>Total shoe consumption mass in 2019 (high)</t>
  </si>
  <si>
    <t>TC (high)</t>
  </si>
  <si>
    <t>In use/Discarded</t>
  </si>
  <si>
    <t>Clothing washed (in use)</t>
  </si>
  <si>
    <t>Clothing washed (discarded)</t>
  </si>
  <si>
    <t>Clothing not washed (in use)</t>
  </si>
  <si>
    <t>Clothing not washed (discarded)</t>
  </si>
  <si>
    <t xml:space="preserve">TCs for clothing that is rarely washed </t>
  </si>
  <si>
    <t>Clothing rarely washed (in use)</t>
  </si>
  <si>
    <t>Clothing rarely washed (discarded)</t>
  </si>
  <si>
    <t>Computed from wearing, washing, drying TCs</t>
  </si>
  <si>
    <t>Women</t>
  </si>
  <si>
    <t>Men</t>
  </si>
  <si>
    <t>Mean number of shoes in posession</t>
  </si>
  <si>
    <t>TCs corrected for number of shoes in posession</t>
  </si>
  <si>
    <t>Clothing categories to in use/discarded</t>
  </si>
  <si>
    <t>Clothing In use/discarded to subsequent compartments</t>
  </si>
  <si>
    <t>Footwear categories to consequent compartments</t>
  </si>
  <si>
    <t>ClothingWashedInUse</t>
  </si>
  <si>
    <t>ClothingWashedDiscarded</t>
  </si>
  <si>
    <t>ClothingRarelyWashedInUse</t>
  </si>
  <si>
    <t>ClothingRarelyWashedDiscarded</t>
  </si>
  <si>
    <t>ClothingNotWashedInUse</t>
  </si>
  <si>
    <t>ClothingNotWashedDiscarded</t>
  </si>
  <si>
    <t>Iyare et al. (2022)</t>
  </si>
  <si>
    <t>Total removal after primary treatment</t>
  </si>
  <si>
    <t>Total removal after secondary treatment</t>
  </si>
  <si>
    <t>Total removal after tertiary treatment</t>
  </si>
  <si>
    <t>mean</t>
  </si>
  <si>
    <t>source</t>
  </si>
  <si>
    <t>Waternet (2025)</t>
  </si>
  <si>
    <t>Relative removal during primary treatment</t>
  </si>
  <si>
    <t>Relative removal during secondary treatment</t>
  </si>
  <si>
    <t>Relative removal during tertiary treatment</t>
  </si>
  <si>
    <t>Removal during step</t>
  </si>
  <si>
    <t>High estimate factor</t>
  </si>
  <si>
    <t>Iyare et al. (2020)</t>
  </si>
  <si>
    <t>Old TCs</t>
  </si>
  <si>
    <t>Consumentenbond (2025), Kimmel et al. (2024) - Lowest reported fraction of captured fibers</t>
  </si>
  <si>
    <t>Consumentenbond (2025), Kimmel et al. (2024) - Average reported fraction of captured fibers</t>
  </si>
  <si>
    <t>Consumentenbond (2025), Kimmel et al. (2024) - Highest reported fraction of captured fibers</t>
  </si>
  <si>
    <t>Effectivity of filter (lowest)</t>
  </si>
  <si>
    <t>Consumentenbond (2025), Kimmel et al. (2024)</t>
  </si>
  <si>
    <t>Effectivity of filter (mean)</t>
  </si>
  <si>
    <t>Effectivity of filter (highest)</t>
  </si>
  <si>
    <t>Effectivity of filters</t>
  </si>
  <si>
    <t>Planet care reviews</t>
  </si>
  <si>
    <t>Fraction of rest flow that goes from secondairy treatment to surface water micro</t>
  </si>
  <si>
    <t>Variables for calculating in use/EoL TCs</t>
  </si>
  <si>
    <t>Footwear TCs</t>
  </si>
  <si>
    <t>TCs to and from in use/discarded</t>
  </si>
  <si>
    <t>Fractions of clothing going to in use and discarded</t>
  </si>
  <si>
    <t>Kimmel et al. (2024)</t>
  </si>
  <si>
    <t>van Egmond, J.-L., Brummelkamp, J., de Kreuk, M., 2021. Verkenning van verwijderingsroutes microplastics in de RWZI. STOWA.</t>
  </si>
  <si>
    <t>Private communication with Frederic Guhl from FOEN, Kawecki et al. (2019)</t>
  </si>
  <si>
    <t>Dominguez, D.; Diggelmann, V.; Binggeli, S. Élimination Des Composés Traces Organiques Dans Les Stations D’Épuration; 2016; Élimination Des Composés Traces Organiques Dans Les Stations D’Épuration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</si>
</sst>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 numFmtId="176" formatCode="0.000%"/>
    <numFmt numFmtId="177" formatCode="0.0000%"/>
    <numFmt numFmtId="178" formatCode="0.0000000000000000%"/>
  </numFmts>
  <fonts count="76">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sz val="22"/>
      <color theme="0"/>
      <name val="Calibri"/>
      <family val="2"/>
      <scheme val="minor"/>
    </font>
    <font>
      <sz val="10"/>
      <color indexed="8"/>
      <name val="Segoe UI"/>
      <family val="2"/>
    </font>
    <font>
      <sz val="11"/>
      <color theme="0" tint="-0.499984740745262"/>
      <name val="Calibri"/>
      <family val="2"/>
      <scheme val="minor"/>
    </font>
  </fonts>
  <fills count="7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79998168889431442"/>
        <bgColor indexed="65"/>
      </patternFill>
    </fill>
    <fill>
      <patternFill patternType="solid">
        <fgColor theme="6"/>
      </patternFill>
    </fill>
  </fills>
  <borders count="89">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s>
  <cellStyleXfs count="121">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58" borderId="0" applyNumberFormat="0" applyBorder="0" applyAlignment="0" applyProtection="0"/>
    <xf numFmtId="0" fontId="15" fillId="59" borderId="0" applyNumberFormat="0" applyBorder="0" applyAlignment="0" applyProtection="0"/>
    <xf numFmtId="0" fontId="14" fillId="62" borderId="0" applyNumberFormat="0" applyBorder="0" applyAlignment="0" applyProtection="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14" fillId="68" borderId="0" applyNumberFormat="0" applyBorder="0" applyAlignment="0" applyProtection="0"/>
    <xf numFmtId="0" fontId="15" fillId="69" borderId="0" applyNumberFormat="0" applyBorder="0" applyAlignment="0" applyProtection="0"/>
  </cellStyleXfs>
  <cellXfs count="1227">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5" fillId="59" borderId="12" xfId="104" applyBorder="1"/>
    <xf numFmtId="0" fontId="17" fillId="59" borderId="12" xfId="104" applyFont="1" applyBorder="1"/>
    <xf numFmtId="0" fontId="71" fillId="0" borderId="0" xfId="0" applyFont="1"/>
    <xf numFmtId="0" fontId="0" fillId="61" borderId="0" xfId="0" applyFill="1"/>
    <xf numFmtId="2" fontId="7" fillId="0" borderId="29" xfId="0" applyNumberFormat="1" applyFont="1"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1" fillId="0" borderId="0" xfId="0" applyNumberFormat="1" applyFont="1"/>
    <xf numFmtId="169" fontId="18" fillId="0" borderId="7" xfId="0" applyNumberFormat="1" applyFont="1" applyBorder="1" applyAlignment="1">
      <alignment horizontal="left" vertical="center"/>
    </xf>
    <xf numFmtId="2" fontId="7" fillId="0" borderId="13" xfId="0" applyNumberFormat="1" applyFont="1" applyBorder="1" applyAlignment="1">
      <alignment horizontal="left" vertical="center"/>
    </xf>
    <xf numFmtId="0" fontId="0" fillId="63" borderId="0" xfId="0" applyFill="1"/>
    <xf numFmtId="0" fontId="14" fillId="62" borderId="0" xfId="105"/>
    <xf numFmtId="175" fontId="0" fillId="0" borderId="0" xfId="0" applyNumberFormat="1"/>
    <xf numFmtId="1" fontId="0" fillId="0" borderId="0" xfId="0" applyNumberFormat="1"/>
    <xf numFmtId="0" fontId="15" fillId="0" borderId="0" xfId="0" applyFont="1"/>
    <xf numFmtId="2" fontId="54" fillId="47" borderId="59" xfId="0" applyNumberFormat="1" applyFont="1" applyFill="1" applyBorder="1" applyAlignment="1">
      <alignment horizontal="center" vertical="center"/>
    </xf>
    <xf numFmtId="2" fontId="54" fillId="47" borderId="0" xfId="0" applyNumberFormat="1" applyFont="1" applyFill="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4" borderId="55" xfId="0" applyFont="1" applyFill="1" applyBorder="1" applyAlignment="1">
      <alignment horizontal="center" vertical="center"/>
    </xf>
    <xf numFmtId="0" fontId="55" fillId="64" borderId="18" xfId="0" applyFont="1" applyFill="1" applyBorder="1" applyAlignment="1">
      <alignment horizontal="center" vertical="center"/>
    </xf>
    <xf numFmtId="0" fontId="55" fillId="64" borderId="54" xfId="0" applyFont="1" applyFill="1" applyBorder="1" applyAlignment="1">
      <alignment horizontal="center" vertical="center"/>
    </xf>
    <xf numFmtId="2" fontId="54" fillId="64" borderId="23" xfId="0" applyNumberFormat="1" applyFont="1" applyFill="1" applyBorder="1" applyAlignment="1">
      <alignment horizontal="center" vertical="center"/>
    </xf>
    <xf numFmtId="2" fontId="54" fillId="64" borderId="24" xfId="0" applyNumberFormat="1" applyFont="1" applyFill="1" applyBorder="1" applyAlignment="1">
      <alignment horizontal="center" vertical="center"/>
    </xf>
    <xf numFmtId="2" fontId="54" fillId="64" borderId="25" xfId="0" applyNumberFormat="1" applyFont="1" applyFill="1" applyBorder="1" applyAlignment="1">
      <alignment horizontal="center" vertical="center"/>
    </xf>
    <xf numFmtId="2" fontId="54" fillId="64" borderId="26" xfId="0" applyNumberFormat="1" applyFont="1" applyFill="1" applyBorder="1" applyAlignment="1">
      <alignment horizontal="center" vertical="center"/>
    </xf>
    <xf numFmtId="2" fontId="54" fillId="64" borderId="9" xfId="0" applyNumberFormat="1" applyFont="1" applyFill="1" applyBorder="1" applyAlignment="1">
      <alignment horizontal="center" vertical="center"/>
    </xf>
    <xf numFmtId="2" fontId="54" fillId="64" borderId="27" xfId="0" applyNumberFormat="1" applyFont="1" applyFill="1" applyBorder="1" applyAlignment="1">
      <alignment horizontal="center" vertical="center"/>
    </xf>
    <xf numFmtId="2" fontId="54" fillId="64" borderId="28" xfId="0" applyNumberFormat="1" applyFont="1" applyFill="1" applyBorder="1" applyAlignment="1">
      <alignment horizontal="center" vertical="center"/>
    </xf>
    <xf numFmtId="2" fontId="54" fillId="64" borderId="29" xfId="0" applyNumberFormat="1" applyFont="1" applyFill="1" applyBorder="1" applyAlignment="1">
      <alignment horizontal="center" vertical="center"/>
    </xf>
    <xf numFmtId="2" fontId="54" fillId="64" borderId="30" xfId="0" applyNumberFormat="1" applyFont="1" applyFill="1" applyBorder="1" applyAlignment="1">
      <alignment horizontal="center" vertical="center"/>
    </xf>
    <xf numFmtId="0" fontId="0" fillId="65" borderId="0" xfId="0" applyFill="1"/>
    <xf numFmtId="0" fontId="27" fillId="40" borderId="62" xfId="0" applyFont="1" applyFill="1" applyBorder="1" applyAlignment="1">
      <alignment horizontal="left" vertical="top"/>
    </xf>
    <xf numFmtId="0" fontId="0" fillId="66" borderId="0" xfId="0" applyFill="1"/>
    <xf numFmtId="11" fontId="0" fillId="66" borderId="0" xfId="0" applyNumberFormat="1" applyFill="1"/>
    <xf numFmtId="11" fontId="0" fillId="61"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2" fontId="7" fillId="0" borderId="86" xfId="0" applyNumberFormat="1" applyFont="1" applyBorder="1" applyAlignment="1">
      <alignment horizontal="left" vertical="center"/>
    </xf>
    <xf numFmtId="2" fontId="7" fillId="0" borderId="10" xfId="0" applyNumberFormat="1" applyFont="1" applyBorder="1" applyAlignment="1">
      <alignment horizontal="left" vertical="center"/>
    </xf>
    <xf numFmtId="2" fontId="7" fillId="0" borderId="85" xfId="0" applyNumberFormat="1" applyFont="1" applyBorder="1" applyAlignment="1">
      <alignment horizontal="left" vertical="center"/>
    </xf>
    <xf numFmtId="0" fontId="7" fillId="0" borderId="43" xfId="0" applyFont="1" applyBorder="1"/>
    <xf numFmtId="10" fontId="7" fillId="0" borderId="0" xfId="47" applyNumberFormat="1" applyFont="1" applyAlignment="1">
      <alignment horizontal="left" vertical="center"/>
    </xf>
    <xf numFmtId="0" fontId="17" fillId="59" borderId="88" xfId="104" applyFont="1" applyBorder="1"/>
    <xf numFmtId="0" fontId="15" fillId="59" borderId="88" xfId="104" applyBorder="1"/>
    <xf numFmtId="0" fontId="75" fillId="0" borderId="0" xfId="0" applyFont="1"/>
    <xf numFmtId="0" fontId="7" fillId="0" borderId="66" xfId="0" applyFont="1" applyBorder="1" applyAlignment="1">
      <alignment horizontal="left" vertical="center"/>
    </xf>
    <xf numFmtId="2" fontId="7" fillId="0" borderId="11" xfId="0" applyNumberFormat="1" applyFont="1" applyBorder="1" applyAlignment="1">
      <alignment horizontal="left" vertical="center"/>
    </xf>
    <xf numFmtId="170" fontId="0" fillId="0" borderId="0" xfId="47" applyNumberFormat="1" applyFont="1"/>
    <xf numFmtId="176" fontId="0" fillId="0" borderId="0" xfId="0" applyNumberFormat="1"/>
    <xf numFmtId="0" fontId="5" fillId="28" borderId="0" xfId="0" applyFont="1" applyFill="1"/>
    <xf numFmtId="0" fontId="0" fillId="67" borderId="0" xfId="0" applyFill="1"/>
    <xf numFmtId="0" fontId="17" fillId="67" borderId="0" xfId="0" applyFont="1" applyFill="1"/>
    <xf numFmtId="177" fontId="0" fillId="0" borderId="0" xfId="0" applyNumberFormat="1"/>
    <xf numFmtId="0" fontId="0" fillId="17" borderId="0" xfId="0" applyFill="1" applyAlignment="1">
      <alignment horizontal="left"/>
    </xf>
    <xf numFmtId="10" fontId="0" fillId="0" borderId="0" xfId="47" applyNumberFormat="1" applyFont="1"/>
    <xf numFmtId="10" fontId="0" fillId="0" borderId="0" xfId="47" applyNumberFormat="1" applyFont="1" applyBorder="1"/>
    <xf numFmtId="0" fontId="14" fillId="68" borderId="0" xfId="119"/>
    <xf numFmtId="0" fontId="14" fillId="11" borderId="0" xfId="43"/>
    <xf numFmtId="0" fontId="17" fillId="20" borderId="0" xfId="50" applyFont="1" applyFill="1"/>
    <xf numFmtId="0" fontId="17" fillId="20" borderId="87" xfId="120" applyFont="1" applyFill="1" applyBorder="1"/>
    <xf numFmtId="0" fontId="15" fillId="20" borderId="87" xfId="120" applyFill="1" applyBorder="1"/>
    <xf numFmtId="0" fontId="15" fillId="20" borderId="12" xfId="120" applyFill="1" applyBorder="1"/>
    <xf numFmtId="0" fontId="53" fillId="0" borderId="0" xfId="52" applyBorder="1"/>
    <xf numFmtId="178" fontId="0" fillId="0" borderId="0" xfId="0" applyNumberFormat="1"/>
    <xf numFmtId="0" fontId="6" fillId="2" borderId="55" xfId="0" applyFont="1" applyFill="1" applyBorder="1" applyAlignment="1">
      <alignment horizontal="left" vertical="center"/>
    </xf>
    <xf numFmtId="0" fontId="6" fillId="2" borderId="56" xfId="0" applyFont="1" applyFill="1" applyBorder="1" applyAlignment="1">
      <alignment horizontal="left" vertical="center"/>
    </xf>
    <xf numFmtId="0" fontId="6" fillId="6" borderId="56" xfId="0" applyFont="1" applyFill="1" applyBorder="1" applyAlignment="1">
      <alignment horizontal="left" vertical="center"/>
    </xf>
    <xf numFmtId="167" fontId="6" fillId="6" borderId="56" xfId="0" applyNumberFormat="1" applyFont="1" applyFill="1" applyBorder="1" applyAlignment="1">
      <alignment horizontal="left" vertical="center"/>
    </xf>
    <xf numFmtId="0" fontId="6" fillId="6" borderId="54" xfId="0" applyFont="1" applyFill="1" applyBorder="1" applyAlignment="1">
      <alignment horizontal="left" vertical="center"/>
    </xf>
    <xf numFmtId="1" fontId="7" fillId="0" borderId="0" xfId="0" applyNumberFormat="1" applyFont="1" applyAlignment="1">
      <alignment horizontal="left" vertical="center"/>
    </xf>
    <xf numFmtId="10" fontId="75" fillId="0" borderId="0" xfId="0" applyNumberFormat="1" applyFont="1"/>
    <xf numFmtId="0" fontId="75" fillId="0" borderId="0" xfId="0" applyFont="1" applyAlignment="1">
      <alignment vertical="center"/>
    </xf>
    <xf numFmtId="0" fontId="75" fillId="0" borderId="0" xfId="0" applyFont="1" applyAlignment="1">
      <alignment horizontal="left" vertical="center"/>
    </xf>
    <xf numFmtId="177" fontId="75" fillId="0" borderId="0" xfId="0" applyNumberFormat="1" applyFont="1"/>
    <xf numFmtId="10" fontId="75" fillId="0" borderId="0" xfId="47" applyNumberFormat="1" applyFont="1"/>
    <xf numFmtId="170" fontId="75" fillId="0" borderId="0" xfId="47" applyNumberFormat="1" applyFont="1"/>
    <xf numFmtId="169" fontId="75" fillId="0" borderId="0" xfId="0" applyNumberFormat="1" applyFont="1" applyAlignment="1">
      <alignment horizontal="left" vertical="center"/>
    </xf>
    <xf numFmtId="1" fontId="75" fillId="0" borderId="0" xfId="0" applyNumberFormat="1" applyFont="1" applyAlignment="1">
      <alignment horizontal="left" vertical="center"/>
    </xf>
    <xf numFmtId="2" fontId="7" fillId="0" borderId="0" xfId="0" applyNumberFormat="1" applyFont="1"/>
    <xf numFmtId="2" fontId="7" fillId="0" borderId="0" xfId="47" applyNumberFormat="1" applyFont="1"/>
    <xf numFmtId="177" fontId="0" fillId="0" borderId="24" xfId="47" applyNumberFormat="1" applyFont="1" applyBorder="1"/>
    <xf numFmtId="177" fontId="0" fillId="0" borderId="9" xfId="47" applyNumberFormat="1" applyFont="1" applyBorder="1"/>
    <xf numFmtId="177" fontId="7" fillId="0" borderId="9" xfId="47" applyNumberFormat="1" applyFont="1" applyBorder="1" applyAlignment="1">
      <alignment horizontal="right" vertical="center"/>
    </xf>
    <xf numFmtId="177" fontId="0" fillId="0" borderId="29" xfId="47" applyNumberFormat="1" applyFont="1" applyBorder="1"/>
    <xf numFmtId="10" fontId="7" fillId="0" borderId="24" xfId="47" applyNumberFormat="1" applyFont="1" applyBorder="1" applyAlignment="1">
      <alignment horizontal="left" vertical="center"/>
    </xf>
    <xf numFmtId="10" fontId="7" fillId="0" borderId="9" xfId="47" applyNumberFormat="1" applyFont="1" applyBorder="1" applyAlignment="1">
      <alignment horizontal="left" vertical="center"/>
    </xf>
    <xf numFmtId="10" fontId="18" fillId="0" borderId="16" xfId="47" applyNumberFormat="1" applyFont="1" applyBorder="1" applyAlignment="1">
      <alignment horizontal="left" vertical="center"/>
    </xf>
    <xf numFmtId="10" fontId="18" fillId="0" borderId="29" xfId="47" applyNumberFormat="1" applyFont="1" applyBorder="1" applyAlignment="1">
      <alignment horizontal="left" vertical="center"/>
    </xf>
    <xf numFmtId="10" fontId="7" fillId="0" borderId="17" xfId="47" applyNumberFormat="1" applyFont="1" applyBorder="1" applyAlignment="1">
      <alignment horizontal="left"/>
    </xf>
    <xf numFmtId="10" fontId="7" fillId="0" borderId="9" xfId="47" applyNumberFormat="1" applyFont="1" applyBorder="1" applyAlignment="1">
      <alignment horizontal="left"/>
    </xf>
    <xf numFmtId="10" fontId="7" fillId="0" borderId="29" xfId="47" applyNumberFormat="1" applyFont="1" applyBorder="1" applyAlignment="1">
      <alignment horizontal="left"/>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0" fillId="0" borderId="13" xfId="0" applyBorder="1" applyAlignment="1">
      <alignment horizontal="left" vertical="center" wrapText="1"/>
    </xf>
    <xf numFmtId="0" fontId="0" fillId="0" borderId="27" xfId="0" applyBorder="1" applyAlignment="1">
      <alignment horizontal="left" vertical="center" wrapText="1"/>
    </xf>
    <xf numFmtId="0" fontId="0" fillId="0" borderId="9" xfId="0"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0" fillId="0" borderId="5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0" fillId="20" borderId="0" xfId="0" applyFont="1" applyFill="1" applyAlignment="1">
      <alignment horizontal="left"/>
    </xf>
    <xf numFmtId="0" fontId="0" fillId="20" borderId="0" xfId="0" applyFill="1" applyAlignment="1">
      <alignment horizontal="left"/>
    </xf>
    <xf numFmtId="0" fontId="70" fillId="58" borderId="0" xfId="103" applyFont="1" applyAlignment="1">
      <alignment horizontal="left"/>
    </xf>
    <xf numFmtId="0" fontId="45" fillId="60" borderId="0" xfId="0" applyFont="1" applyFill="1" applyAlignment="1">
      <alignment horizontal="left"/>
    </xf>
    <xf numFmtId="0" fontId="0" fillId="60" borderId="0" xfId="0" applyFill="1" applyAlignment="1">
      <alignment horizontal="left"/>
    </xf>
    <xf numFmtId="0" fontId="15" fillId="60" borderId="0" xfId="0" applyFont="1" applyFill="1" applyAlignment="1">
      <alignment horizontal="left"/>
    </xf>
    <xf numFmtId="0" fontId="45" fillId="20" borderId="0" xfId="0" applyFont="1" applyFill="1" applyAlignment="1">
      <alignment horizontal="left"/>
    </xf>
    <xf numFmtId="0" fontId="70"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3" fillId="20" borderId="0" xfId="0" applyFont="1" applyFill="1" applyAlignment="1">
      <alignment horizontal="left"/>
    </xf>
    <xf numFmtId="0" fontId="45" fillId="18" borderId="0" xfId="0" applyFont="1" applyFill="1" applyAlignment="1">
      <alignment horizontal="left"/>
    </xf>
    <xf numFmtId="0" fontId="72" fillId="18" borderId="0" xfId="0" applyFont="1" applyFill="1" applyAlignment="1">
      <alignment horizontal="left"/>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56" borderId="9" xfId="0" applyNumberFormat="1" applyFont="1" applyFill="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6" fillId="27" borderId="9" xfId="0" applyNumberFormat="1" applyFont="1" applyFill="1" applyBorder="1" applyAlignment="1">
      <alignment horizontal="left" vertical="center"/>
    </xf>
    <xf numFmtId="0" fontId="5" fillId="27" borderId="9" xfId="0" applyFont="1" applyFill="1" applyBorder="1" applyAlignment="1">
      <alignment horizontal="left" vertical="center"/>
    </xf>
    <xf numFmtId="169" fontId="7" fillId="25" borderId="9" xfId="0" applyNumberFormat="1" applyFont="1" applyFill="1" applyBorder="1" applyAlignment="1">
      <alignment horizontal="center" vertical="center"/>
    </xf>
    <xf numFmtId="0" fontId="0" fillId="0" borderId="9" xfId="0"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0" fontId="0" fillId="26" borderId="9" xfId="0" applyFill="1" applyBorder="1" applyAlignment="1">
      <alignment horizontal="left" vertical="center"/>
    </xf>
    <xf numFmtId="0" fontId="0" fillId="5" borderId="9" xfId="0" applyFill="1" applyBorder="1" applyAlignment="1">
      <alignment horizontal="left" vertical="center"/>
    </xf>
    <xf numFmtId="0" fontId="5" fillId="27" borderId="59" xfId="0" applyFont="1" applyFill="1" applyBorder="1" applyAlignment="1">
      <alignment horizontal="left" vertical="center"/>
    </xf>
    <xf numFmtId="0" fontId="5" fillId="27" borderId="13" xfId="0"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9" xfId="0" applyFon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5" fillId="27" borderId="7" xfId="0" applyFont="1"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7" xfId="0" applyFont="1" applyFill="1" applyBorder="1" applyAlignment="1">
      <alignment horizontal="left" vertical="center"/>
    </xf>
    <xf numFmtId="0" fontId="7" fillId="0" borderId="9" xfId="0" applyFont="1" applyBorder="1" applyAlignment="1">
      <alignment horizontal="left" vertical="center" readingOrder="1"/>
    </xf>
    <xf numFmtId="165" fontId="7" fillId="0" borderId="9" xfId="0" applyNumberFormat="1" applyFont="1" applyBorder="1" applyAlignment="1">
      <alignment horizontal="left" vertical="center" readingOrder="1"/>
    </xf>
    <xf numFmtId="165" fontId="6" fillId="0" borderId="9" xfId="0" applyNumberFormat="1" applyFont="1" applyBorder="1" applyAlignment="1">
      <alignment horizontal="left" vertical="center" readingOrder="1"/>
    </xf>
    <xf numFmtId="0" fontId="7" fillId="0" borderId="9" xfId="37" applyFont="1" applyFill="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34" fillId="0" borderId="9" xfId="37" applyFont="1" applyFill="1" applyBorder="1" applyAlignment="1">
      <alignment horizontal="left" vertical="center" readingOrder="1"/>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0" fillId="0" borderId="9" xfId="0" applyBorder="1" applyAlignment="1">
      <alignment horizontal="left"/>
    </xf>
    <xf numFmtId="0" fontId="0" fillId="0" borderId="0" xfId="0"/>
    <xf numFmtId="0" fontId="19" fillId="0" borderId="9" xfId="37" applyBorder="1" applyAlignment="1">
      <alignment horizontal="left" vertical="center"/>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5" fillId="27" borderId="9" xfId="0" applyFont="1" applyFill="1" applyBorder="1" applyAlignment="1">
      <alignment horizontal="left" vertical="center" wrapText="1"/>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0" fillId="24" borderId="9" xfId="0" applyFill="1" applyBorder="1" applyAlignment="1">
      <alignment horizontal="left" vertical="center"/>
    </xf>
    <xf numFmtId="0" fontId="5" fillId="0" borderId="9" xfId="0" applyFont="1" applyBorder="1" applyAlignment="1">
      <alignment horizontal="left" vertical="center"/>
    </xf>
    <xf numFmtId="0" fontId="35" fillId="0" borderId="0" xfId="0" applyFont="1"/>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68" fillId="20" borderId="0" xfId="0" applyFont="1" applyFill="1" applyAlignment="1">
      <alignment horizontal="left" vertical="center"/>
    </xf>
    <xf numFmtId="0" fontId="69" fillId="20" borderId="0" xfId="0" applyFont="1" applyFill="1" applyAlignment="1">
      <alignment horizontal="left" vertical="center"/>
    </xf>
    <xf numFmtId="0" fontId="7" fillId="0" borderId="9" xfId="0" applyFont="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61"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35" fillId="0" borderId="59" xfId="0" applyFon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165" fontId="0" fillId="0" borderId="9" xfId="0" applyNumberForma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165" fontId="0" fillId="25" borderId="9" xfId="0" applyNumberFormat="1" applyFill="1" applyBorder="1" applyAlignment="1">
      <alignment horizontal="left" vertical="center"/>
    </xf>
    <xf numFmtId="0" fontId="45" fillId="20" borderId="0" xfId="0" applyFont="1" applyFill="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19" fillId="0" borderId="9" xfId="37" applyFill="1" applyBorder="1" applyAlignment="1">
      <alignment horizontal="left" vertical="center"/>
    </xf>
    <xf numFmtId="0" fontId="5" fillId="27" borderId="16" xfId="0" applyFont="1"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165" fontId="0" fillId="0" borderId="9" xfId="0" applyNumberFormat="1" applyBorder="1" applyAlignment="1">
      <alignment horizontal="center" vertical="center"/>
    </xf>
    <xf numFmtId="0" fontId="6" fillId="27" borderId="9" xfId="0" applyFont="1" applyFill="1" applyBorder="1" applyAlignment="1">
      <alignment horizontal="center" vertical="center"/>
    </xf>
    <xf numFmtId="0" fontId="6" fillId="27" borderId="9"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cellXfs>
  <cellStyles count="121">
    <cellStyle name="20% - Accent1" xfId="119" builtinId="30"/>
    <cellStyle name="20% - Accent2" xfId="42" builtinId="34"/>
    <cellStyle name="20% - Accent3" xfId="43" builtinId="38"/>
    <cellStyle name="20% - Accent5" xfId="44" builtinId="46"/>
    <cellStyle name="20% - Accent6" xfId="45" builtinId="50"/>
    <cellStyle name="40% - Accent5" xfId="105" builtinId="47"/>
    <cellStyle name="60% - Accent2" xfId="48" builtinId="36"/>
    <cellStyle name="60% - Accent4" xfId="49" builtinId="44"/>
    <cellStyle name="Accent1" xfId="50" builtinId="29"/>
    <cellStyle name="Accent3" xfId="120" builtinId="37"/>
    <cellStyle name="Accent4" xfId="103" builtinId="41"/>
    <cellStyle name="Accent5" xfId="104" builtinId="45"/>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8" xr:uid="{8BD84672-7DCF-4DA4-858F-EAB01689DEDC}"/>
    <cellStyle name="Normal 2 2 3" xfId="79" xr:uid="{95ABDB91-3660-4DB5-8BA0-BA80D59FE0B7}"/>
    <cellStyle name="Normal 2 2 4" xfId="80" xr:uid="{8EF4B5A1-9792-4C8A-9ABB-0408691BB355}"/>
    <cellStyle name="Normal 2 2_Textile waste collection" xfId="107"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09" xr:uid="{1FE9E4D1-916D-4242-B76F-79FF70F560D5}"/>
    <cellStyle name="Normal 2 4" xfId="83" xr:uid="{76F614EB-C017-4E58-B6E6-33EBB7B0B5AF}"/>
    <cellStyle name="Normal 2 5" xfId="84" xr:uid="{7BC5996F-3FE1-405A-80FE-A65F233C61A0}"/>
    <cellStyle name="Normal 2_Textile waste collection" xfId="106"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2" xr:uid="{217FDBAC-0F32-4D07-B03F-91C2A7C1C36F}"/>
    <cellStyle name="Normal 3 2 3" xfId="87" xr:uid="{469B2650-0A74-4A51-B7D9-D34FCF951FFD}"/>
    <cellStyle name="Normal 3 2 4" xfId="88" xr:uid="{E982FF70-C631-4BAE-91C9-84E44D2BD653}"/>
    <cellStyle name="Normal 3 2_Textile waste collection" xfId="111"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3" xr:uid="{67724B5C-449F-413F-A03B-70ECB7710F60}"/>
    <cellStyle name="Normal 3 4" xfId="91" xr:uid="{6652DF51-2510-48DB-8F87-FE44ECAD6D80}"/>
    <cellStyle name="Normal 3 5" xfId="92" xr:uid="{EEE6786F-A1C6-42AE-A090-48494A364C5C}"/>
    <cellStyle name="Normal 3_Textile waste collection" xfId="110"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6" xr:uid="{80E602E7-E432-47DD-B577-C598BF839BB9}"/>
    <cellStyle name="Normal 4 2 3" xfId="95" xr:uid="{EA1F5AA3-770F-476F-A773-C89FF900E622}"/>
    <cellStyle name="Normal 4 2 4" xfId="96" xr:uid="{FEA09008-00B8-4B1E-9C55-4E4C8A087C61}"/>
    <cellStyle name="Normal 4 2_Textile waste collection" xfId="115"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7" xr:uid="{3F8C9D93-32A0-4D2B-A06C-81D1698CE618}"/>
    <cellStyle name="Normal 4 4" xfId="99" xr:uid="{8F1D38D5-0E19-4412-B4D1-1A9F09120DC6}"/>
    <cellStyle name="Normal 4 5" xfId="100" xr:uid="{83B47DFA-4E31-45B4-9A2F-F84370CE9403}"/>
    <cellStyle name="Normal 4_Textile waste collection" xfId="114"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8" xr:uid="{2052AABA-AFCF-4B08-8732-D24626EA3F43}"/>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240">
    <dxf>
      <fill>
        <patternFill>
          <bgColor theme="0" tint="-0.24994659260841701"/>
        </patternFill>
      </fill>
    </dxf>
    <dxf>
      <numFmt numFmtId="0" formatCode="General"/>
    </dxf>
    <dxf>
      <numFmt numFmtId="179" formatCode="0.0E+00"/>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9" formatCode="0.0E+00"/>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numFmt numFmtId="0" formatCode="General"/>
    </dxf>
    <dxf>
      <numFmt numFmtId="179"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39"/>
      <tableStyleElement type="headerRow" dxfId="238"/>
      <tableStyleElement type="firstRowStripe" dxfId="237"/>
      <tableStyleElement type="secondRowStripe" dxfId="236"/>
    </tableStyle>
    <tableStyle name="ToDoList" pivot="0" count="9" xr9:uid="{2DF133CA-7C3F-4FCB-A221-9418C1D283ED}">
      <tableStyleElement type="wholeTable" dxfId="235"/>
      <tableStyleElement type="headerRow" dxfId="234"/>
      <tableStyleElement type="totalRow" dxfId="233"/>
      <tableStyleElement type="firstColumn" dxfId="232"/>
      <tableStyleElement type="lastColumn" dxfId="231"/>
      <tableStyleElement type="firstRowStripe" dxfId="230"/>
      <tableStyleElement type="secondRowStripe" dxfId="229"/>
      <tableStyleElement type="firstColumnStripe" dxfId="228"/>
      <tableStyleElement type="secondColumnStripe" dxfId="227"/>
    </tableStyle>
    <tableStyle name="ToDoList 2" pivot="0" count="9" xr9:uid="{9535B582-56B3-4FB6-A5DA-8DE3CB0C9DCB}">
      <tableStyleElement type="wholeTable" dxfId="226"/>
      <tableStyleElement type="headerRow" dxfId="225"/>
      <tableStyleElement type="totalRow" dxfId="224"/>
      <tableStyleElement type="firstColumn" dxfId="223"/>
      <tableStyleElement type="lastColumn" dxfId="222"/>
      <tableStyleElement type="firstRowStripe" dxfId="221"/>
      <tableStyleElement type="secondRowStripe" dxfId="220"/>
      <tableStyleElement type="firstColumnStripe" dxfId="219"/>
      <tableStyleElement type="secondColumnStripe" dxfId="218"/>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209551</xdr:colOff>
      <xdr:row>18</xdr:row>
      <xdr:rowOff>28576</xdr:rowOff>
    </xdr:from>
    <xdr:to>
      <xdr:col>4</xdr:col>
      <xdr:colOff>1302125</xdr:colOff>
      <xdr:row>32</xdr:row>
      <xdr:rowOff>180976</xdr:rowOff>
    </xdr:to>
    <xdr:pic>
      <xdr:nvPicPr>
        <xdr:cNvPr id="37" name="Picture 36">
          <a:extLst>
            <a:ext uri="{FF2B5EF4-FFF2-40B4-BE49-F238E27FC236}">
              <a16:creationId xmlns:a16="http://schemas.microsoft.com/office/drawing/2014/main" id="{4833C942-E871-E422-2AE4-FF89D596D7AB}"/>
            </a:ext>
          </a:extLst>
        </xdr:cNvPr>
        <xdr:cNvPicPr>
          <a:picLocks noChangeAspect="1"/>
        </xdr:cNvPicPr>
      </xdr:nvPicPr>
      <xdr:blipFill>
        <a:blip xmlns:r="http://schemas.openxmlformats.org/officeDocument/2006/relationships" r:embed="rId1"/>
        <a:srcRect l="7569" t="37469" r="69114" b="12834"/>
        <a:stretch>
          <a:fillRect/>
        </a:stretch>
      </xdr:blipFill>
      <xdr:spPr>
        <a:xfrm>
          <a:off x="209551" y="3467101"/>
          <a:ext cx="7055224" cy="2819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810"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462" tableId="0">
      <columnFilter colId="0">
        <filter colId="0">
          <x:filters>
            <x:filter val="Paint"/>
          </x:filters>
        </filter>
      </columnFilter>
    </nsvFilter>
  </namedSheetView>
  <namedSheetView name="Paint2" id="{498A777A-09E9-4967-9C2C-42FFFC8DBD09}">
    <nsvFilter filterId="{D17F49C5-045C-4C41-8133-90E2E1555C53}" ref="A1:P1462"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462"/>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27" dT="2025-06-23T13:26:05.79" personId="{00000000-0000-0000-0000-000000000000}" id="{40F91E8C-BD48-4DB1-BDE9-6D8AF76529C5}">
    <text xml:space="preserve">[Mention was removed] , could we add somewhere in an update of the SI of the original the table where the link is made between what are these home textiles and technical home textiles: Steeds meer textiel in Nederland | CBS </text>
    <extLst>
      <x:ext xmlns:xltc2="http://schemas.microsoft.com/office/spreadsheetml/2020/threadedcomments2" uri="{F7C98A9C-CBB3-438F-8F68-D28B6AF4A901}">
        <xltc2:checksum>2710495967</xltc2:checksum>
        <xltc2:hyperlink startIndex="185" length="38" url="https://www.cbs.nl/nl-nl/nieuws/2021/05/steeds-meer-textiel-in-nederland"/>
      </x:ext>
    </extLs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7" Type="http://schemas.microsoft.com/office/2017/10/relationships/threadedComment" Target="../threadedComments/threadedComment1.xm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zoomScaleNormal="100" workbookViewId="0">
      <selection activeCell="D9" sqref="D8:P9"/>
    </sheetView>
  </sheetViews>
  <sheetFormatPr defaultColWidth="9.33203125" defaultRowHeight="14.4"/>
  <cols>
    <col min="1" max="1" width="50.6640625" style="76" customWidth="1"/>
    <col min="2" max="2" width="30.6640625" style="19" customWidth="1"/>
    <col min="3" max="3" width="30.6640625" style="3" customWidth="1"/>
    <col min="4" max="16" width="15.6640625" style="3" customWidth="1"/>
    <col min="17" max="16384" width="9.33203125" style="3"/>
  </cols>
  <sheetData>
    <row r="1" spans="1:16" ht="30" customHeight="1" thickBot="1">
      <c r="A1" s="1043" t="s">
        <v>0</v>
      </c>
      <c r="B1" s="1044"/>
      <c r="C1" s="1044"/>
      <c r="D1" s="1044"/>
      <c r="E1" s="1044"/>
      <c r="F1" s="1044"/>
      <c r="G1" s="1044"/>
      <c r="H1" s="1044"/>
      <c r="I1" s="1044"/>
      <c r="J1" s="1044"/>
      <c r="K1" s="1044"/>
      <c r="L1" s="1044"/>
      <c r="M1" s="1044"/>
      <c r="N1" s="1044"/>
      <c r="O1" s="1044"/>
      <c r="P1" s="1045"/>
    </row>
    <row r="2" spans="1:16" s="18" customFormat="1" ht="30" customHeight="1" thickBot="1">
      <c r="A2" s="102" t="s">
        <v>1</v>
      </c>
      <c r="B2" s="1049" t="s">
        <v>2</v>
      </c>
      <c r="C2" s="1050"/>
      <c r="D2" s="1049" t="s">
        <v>3</v>
      </c>
      <c r="E2" s="1050"/>
      <c r="F2" s="1050"/>
      <c r="G2" s="1050"/>
      <c r="H2" s="1050"/>
      <c r="I2" s="1050"/>
      <c r="J2" s="1050"/>
      <c r="K2" s="1050"/>
      <c r="L2" s="1050"/>
      <c r="M2" s="1050"/>
      <c r="N2" s="1050"/>
      <c r="O2" s="1050"/>
      <c r="P2" s="1051"/>
    </row>
    <row r="3" spans="1:16" s="18" customFormat="1" ht="49.95" customHeight="1">
      <c r="A3" s="103" t="s">
        <v>4</v>
      </c>
      <c r="B3" s="1052" t="s">
        <v>5</v>
      </c>
      <c r="C3" s="1054"/>
      <c r="D3" s="1052" t="s">
        <v>6</v>
      </c>
      <c r="E3" s="1053"/>
      <c r="F3" s="1053"/>
      <c r="G3" s="1053"/>
      <c r="H3" s="1053"/>
      <c r="I3" s="1053"/>
      <c r="J3" s="1053"/>
      <c r="K3" s="1053"/>
      <c r="L3" s="1053"/>
      <c r="M3" s="1053"/>
      <c r="N3" s="1053"/>
      <c r="O3" s="1053"/>
      <c r="P3" s="1054"/>
    </row>
    <row r="4" spans="1:16" s="18" customFormat="1" ht="250.2" customHeight="1">
      <c r="A4" s="104" t="s">
        <v>7</v>
      </c>
      <c r="B4" s="1046" t="s">
        <v>8</v>
      </c>
      <c r="C4" s="1047"/>
      <c r="D4" s="1046"/>
      <c r="E4" s="1048"/>
      <c r="F4" s="1048"/>
      <c r="G4" s="1048"/>
      <c r="H4" s="1048"/>
      <c r="I4" s="1048"/>
      <c r="J4" s="1048"/>
      <c r="K4" s="1048"/>
      <c r="L4" s="1048"/>
      <c r="M4" s="1048"/>
      <c r="N4" s="1048"/>
      <c r="O4" s="1048"/>
      <c r="P4" s="1047"/>
    </row>
    <row r="5" spans="1:16" s="18" customFormat="1" ht="49.95" customHeight="1">
      <c r="A5" s="104" t="s">
        <v>9</v>
      </c>
      <c r="B5" s="1046" t="s">
        <v>10</v>
      </c>
      <c r="C5" s="1047"/>
      <c r="D5" s="1046" t="s">
        <v>11</v>
      </c>
      <c r="E5" s="1048"/>
      <c r="F5" s="1048"/>
      <c r="G5" s="1048"/>
      <c r="H5" s="1048"/>
      <c r="I5" s="1048"/>
      <c r="J5" s="1048"/>
      <c r="K5" s="1048"/>
      <c r="L5" s="1048"/>
      <c r="M5" s="1048"/>
      <c r="N5" s="1048"/>
      <c r="O5" s="1048"/>
      <c r="P5" s="1047"/>
    </row>
    <row r="6" spans="1:16" s="18" customFormat="1" ht="49.95" customHeight="1">
      <c r="A6" s="104" t="s">
        <v>12</v>
      </c>
      <c r="B6" s="1046" t="s">
        <v>13</v>
      </c>
      <c r="C6" s="1047"/>
      <c r="D6" s="1046" t="s">
        <v>14</v>
      </c>
      <c r="E6" s="1048"/>
      <c r="F6" s="1048"/>
      <c r="G6" s="1048"/>
      <c r="H6" s="1048"/>
      <c r="I6" s="1048"/>
      <c r="J6" s="1048"/>
      <c r="K6" s="1048"/>
      <c r="L6" s="1048"/>
      <c r="M6" s="1048"/>
      <c r="N6" s="1048"/>
      <c r="O6" s="1048"/>
      <c r="P6" s="1047"/>
    </row>
    <row r="7" spans="1:16" s="18" customFormat="1" ht="49.95" customHeight="1">
      <c r="A7" s="104" t="s">
        <v>15</v>
      </c>
      <c r="B7" s="1046" t="s">
        <v>16</v>
      </c>
      <c r="C7" s="1047"/>
      <c r="D7" s="1046" t="s">
        <v>17</v>
      </c>
      <c r="E7" s="1048"/>
      <c r="F7" s="1048"/>
      <c r="G7" s="1048"/>
      <c r="H7" s="1048"/>
      <c r="I7" s="1048"/>
      <c r="J7" s="1048"/>
      <c r="K7" s="1048"/>
      <c r="L7" s="1048"/>
      <c r="M7" s="1048"/>
      <c r="N7" s="1048"/>
      <c r="O7" s="1048"/>
      <c r="P7" s="1047"/>
    </row>
    <row r="8" spans="1:16" s="18" customFormat="1" ht="49.95" customHeight="1">
      <c r="A8" s="104" t="s">
        <v>18</v>
      </c>
      <c r="B8" s="1046" t="s">
        <v>19</v>
      </c>
      <c r="C8" s="1047"/>
      <c r="D8" s="1046" t="s">
        <v>20</v>
      </c>
      <c r="E8" s="1048"/>
      <c r="F8" s="1048"/>
      <c r="G8" s="1048"/>
      <c r="H8" s="1048"/>
      <c r="I8" s="1048"/>
      <c r="J8" s="1048"/>
      <c r="K8" s="1048"/>
      <c r="L8" s="1048"/>
      <c r="M8" s="1048"/>
      <c r="N8" s="1048"/>
      <c r="O8" s="1048"/>
      <c r="P8" s="1047"/>
    </row>
    <row r="9" spans="1:16" s="18" customFormat="1" ht="49.95" customHeight="1">
      <c r="A9" s="104" t="s">
        <v>21</v>
      </c>
      <c r="B9" s="1046" t="s">
        <v>22</v>
      </c>
      <c r="C9" s="1047"/>
      <c r="D9" s="1046" t="s">
        <v>23</v>
      </c>
      <c r="E9" s="1048"/>
      <c r="F9" s="1048"/>
      <c r="G9" s="1048"/>
      <c r="H9" s="1048"/>
      <c r="I9" s="1048"/>
      <c r="J9" s="1048"/>
      <c r="K9" s="1048"/>
      <c r="L9" s="1048"/>
      <c r="M9" s="1048"/>
      <c r="N9" s="1048"/>
      <c r="O9" s="1048"/>
      <c r="P9" s="1047"/>
    </row>
    <row r="10" spans="1:16" s="18" customFormat="1" ht="49.95" customHeight="1">
      <c r="A10" s="104" t="s">
        <v>24</v>
      </c>
      <c r="B10" s="1046" t="s">
        <v>25</v>
      </c>
      <c r="C10" s="1047"/>
      <c r="D10" s="1046" t="s">
        <v>26</v>
      </c>
      <c r="E10" s="1048"/>
      <c r="F10" s="1048"/>
      <c r="G10" s="1048"/>
      <c r="H10" s="1048"/>
      <c r="I10" s="1048"/>
      <c r="J10" s="1048"/>
      <c r="K10" s="1048"/>
      <c r="L10" s="1048"/>
      <c r="M10" s="1048"/>
      <c r="N10" s="1048"/>
      <c r="O10" s="1048"/>
      <c r="P10" s="1047"/>
    </row>
    <row r="11" spans="1:16" s="18" customFormat="1" ht="49.95" customHeight="1">
      <c r="A11" s="104" t="s">
        <v>27</v>
      </c>
      <c r="B11" s="1046" t="s">
        <v>28</v>
      </c>
      <c r="C11" s="1047"/>
      <c r="D11" s="1046" t="s">
        <v>26</v>
      </c>
      <c r="E11" s="1048"/>
      <c r="F11" s="1048"/>
      <c r="G11" s="1048"/>
      <c r="H11" s="1048"/>
      <c r="I11" s="1048"/>
      <c r="J11" s="1048"/>
      <c r="K11" s="1048"/>
      <c r="L11" s="1048"/>
      <c r="M11" s="1048"/>
      <c r="N11" s="1048"/>
      <c r="O11" s="1048"/>
      <c r="P11" s="1047"/>
    </row>
    <row r="12" spans="1:16" s="18" customFormat="1" ht="49.95" customHeight="1">
      <c r="A12" s="104" t="s">
        <v>29</v>
      </c>
      <c r="B12" s="1046" t="s">
        <v>30</v>
      </c>
      <c r="C12" s="1047"/>
      <c r="D12" s="1046" t="s">
        <v>26</v>
      </c>
      <c r="E12" s="1048"/>
      <c r="F12" s="1048"/>
      <c r="G12" s="1048"/>
      <c r="H12" s="1048"/>
      <c r="I12" s="1048"/>
      <c r="J12" s="1048"/>
      <c r="K12" s="1048"/>
      <c r="L12" s="1048"/>
      <c r="M12" s="1048"/>
      <c r="N12" s="1048"/>
      <c r="O12" s="1048"/>
      <c r="P12" s="1047"/>
    </row>
    <row r="13" spans="1:16" s="18" customFormat="1" ht="49.95" customHeight="1">
      <c r="A13" s="104" t="s">
        <v>31</v>
      </c>
      <c r="B13" s="1046" t="s">
        <v>32</v>
      </c>
      <c r="C13" s="1047"/>
      <c r="D13" s="1046" t="s">
        <v>33</v>
      </c>
      <c r="E13" s="1048"/>
      <c r="F13" s="1048"/>
      <c r="G13" s="1048"/>
      <c r="H13" s="1048"/>
      <c r="I13" s="1048"/>
      <c r="J13" s="1048"/>
      <c r="K13" s="1048"/>
      <c r="L13" s="1048"/>
      <c r="M13" s="1048"/>
      <c r="N13" s="1048"/>
      <c r="O13" s="1048"/>
      <c r="P13" s="1047"/>
    </row>
    <row r="14" spans="1:16" s="18" customFormat="1" ht="49.95" customHeight="1">
      <c r="A14" s="104" t="s">
        <v>34</v>
      </c>
      <c r="B14" s="1046" t="s">
        <v>35</v>
      </c>
      <c r="C14" s="1047"/>
      <c r="D14" s="1046" t="s">
        <v>36</v>
      </c>
      <c r="E14" s="1048"/>
      <c r="F14" s="1048"/>
      <c r="G14" s="1048"/>
      <c r="H14" s="1048"/>
      <c r="I14" s="1048"/>
      <c r="J14" s="1048"/>
      <c r="K14" s="1048"/>
      <c r="L14" s="1048"/>
      <c r="M14" s="1048"/>
      <c r="N14" s="1048"/>
      <c r="O14" s="1048"/>
      <c r="P14" s="1047"/>
    </row>
    <row r="15" spans="1:16" s="18" customFormat="1" ht="49.95" customHeight="1">
      <c r="A15" s="104" t="s">
        <v>37</v>
      </c>
      <c r="B15" s="1046" t="s">
        <v>38</v>
      </c>
      <c r="C15" s="1047"/>
      <c r="D15" s="1046" t="s">
        <v>36</v>
      </c>
      <c r="E15" s="1048"/>
      <c r="F15" s="1048"/>
      <c r="G15" s="1048"/>
      <c r="H15" s="1048"/>
      <c r="I15" s="1048"/>
      <c r="J15" s="1048"/>
      <c r="K15" s="1048"/>
      <c r="L15" s="1048"/>
      <c r="M15" s="1048"/>
      <c r="N15" s="1048"/>
      <c r="O15" s="1048"/>
      <c r="P15" s="1047"/>
    </row>
    <row r="16" spans="1:16" s="18" customFormat="1" ht="49.95" customHeight="1" thickBot="1">
      <c r="A16" s="105" t="s">
        <v>39</v>
      </c>
      <c r="B16" s="1060" t="s">
        <v>40</v>
      </c>
      <c r="C16" s="1061"/>
      <c r="D16" s="1060" t="s">
        <v>36</v>
      </c>
      <c r="E16" s="1062"/>
      <c r="F16" s="1062"/>
      <c r="G16" s="1062"/>
      <c r="H16" s="1062"/>
      <c r="I16" s="1062"/>
      <c r="J16" s="1062"/>
      <c r="K16" s="1062"/>
      <c r="L16" s="1062"/>
      <c r="M16" s="1062"/>
      <c r="N16" s="1062"/>
      <c r="O16" s="1062"/>
      <c r="P16" s="1061"/>
    </row>
    <row r="17" spans="1:16">
      <c r="A17" s="78"/>
      <c r="B17" s="20"/>
      <c r="C17" s="21"/>
    </row>
    <row r="18" spans="1:16" ht="15" thickBot="1"/>
    <row r="19" spans="1:16" ht="30" customHeight="1" thickBot="1">
      <c r="A19" s="102" t="s">
        <v>41</v>
      </c>
      <c r="B19" s="1057" t="s">
        <v>42</v>
      </c>
      <c r="C19" s="1058"/>
      <c r="D19" s="1058"/>
      <c r="E19" s="1058"/>
      <c r="F19" s="1058"/>
      <c r="G19" s="1058"/>
      <c r="H19" s="1058"/>
      <c r="I19" s="1058"/>
      <c r="J19" s="1058"/>
      <c r="K19" s="1058"/>
      <c r="L19" s="1058"/>
      <c r="M19" s="1058"/>
      <c r="N19" s="1058"/>
      <c r="O19" s="1058"/>
      <c r="P19" s="1059"/>
    </row>
    <row r="20" spans="1:16" ht="30" customHeight="1">
      <c r="A20" s="103" t="s">
        <v>43</v>
      </c>
      <c r="B20" s="1056" t="s">
        <v>44</v>
      </c>
      <c r="C20" s="1053"/>
      <c r="D20" s="1053"/>
      <c r="E20" s="1053"/>
      <c r="F20" s="1053"/>
      <c r="G20" s="1053"/>
      <c r="H20" s="1053"/>
      <c r="I20" s="1053"/>
      <c r="J20" s="1053"/>
      <c r="K20" s="1053"/>
      <c r="L20" s="1053"/>
      <c r="M20" s="1053"/>
      <c r="N20" s="1053"/>
      <c r="O20" s="1053"/>
      <c r="P20" s="1054"/>
    </row>
    <row r="21" spans="1:16" ht="30" customHeight="1">
      <c r="A21" s="104" t="s">
        <v>45</v>
      </c>
      <c r="B21" s="1055" t="s">
        <v>46</v>
      </c>
      <c r="C21" s="1048"/>
      <c r="D21" s="1048"/>
      <c r="E21" s="1048"/>
      <c r="F21" s="1048"/>
      <c r="G21" s="1048"/>
      <c r="H21" s="1048"/>
      <c r="I21" s="1048"/>
      <c r="J21" s="1048"/>
      <c r="K21" s="1048"/>
      <c r="L21" s="1048"/>
      <c r="M21" s="1048"/>
      <c r="N21" s="1048"/>
      <c r="O21" s="1048"/>
      <c r="P21" s="1047"/>
    </row>
    <row r="23" spans="1:16" ht="14.4" customHeight="1"/>
  </sheetData>
  <mergeCells count="34">
    <mergeCell ref="D13:P13"/>
    <mergeCell ref="B21:P21"/>
    <mergeCell ref="B20:P20"/>
    <mergeCell ref="B13:C13"/>
    <mergeCell ref="B14:C14"/>
    <mergeCell ref="B19:P19"/>
    <mergeCell ref="D14:P14"/>
    <mergeCell ref="B15:C15"/>
    <mergeCell ref="B16:C16"/>
    <mergeCell ref="D15:P15"/>
    <mergeCell ref="D16:P16"/>
    <mergeCell ref="B3:C3"/>
    <mergeCell ref="B6:C6"/>
    <mergeCell ref="B7:C7"/>
    <mergeCell ref="D11:P11"/>
    <mergeCell ref="B12:C12"/>
    <mergeCell ref="D12:P12"/>
    <mergeCell ref="B11:C11"/>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E16" sqref="E16"/>
    </sheetView>
  </sheetViews>
  <sheetFormatPr defaultRowHeight="14.4"/>
  <cols>
    <col min="1" max="1" width="40.6640625" customWidth="1"/>
    <col min="2" max="2" width="15.6640625" customWidth="1"/>
    <col min="3" max="6" width="50.6640625" customWidth="1"/>
  </cols>
  <sheetData>
    <row r="1" spans="1:6" ht="30" customHeight="1">
      <c r="A1" s="264" t="s">
        <v>47</v>
      </c>
      <c r="B1" s="1063" t="s">
        <v>48</v>
      </c>
      <c r="C1" s="271" t="s">
        <v>49</v>
      </c>
      <c r="D1" s="269" t="s">
        <v>50</v>
      </c>
      <c r="E1" s="271" t="s">
        <v>51</v>
      </c>
      <c r="F1" s="279" t="s">
        <v>52</v>
      </c>
    </row>
    <row r="2" spans="1:6" ht="30" customHeight="1" thickBot="1">
      <c r="A2" s="265" t="s">
        <v>53</v>
      </c>
      <c r="B2" s="1064"/>
      <c r="C2" s="272" t="s">
        <v>54</v>
      </c>
      <c r="D2" s="270" t="s">
        <v>55</v>
      </c>
      <c r="E2" s="272" t="s">
        <v>56</v>
      </c>
      <c r="F2" s="280" t="s">
        <v>57</v>
      </c>
    </row>
    <row r="3" spans="1:6" ht="39.9" customHeight="1">
      <c r="A3" s="22" t="s">
        <v>58</v>
      </c>
      <c r="B3" s="266" t="s">
        <v>59</v>
      </c>
      <c r="C3" s="273" t="s">
        <v>60</v>
      </c>
      <c r="D3" s="276" t="s">
        <v>61</v>
      </c>
      <c r="E3" s="284" t="s">
        <v>62</v>
      </c>
      <c r="F3" s="281" t="s">
        <v>63</v>
      </c>
    </row>
    <row r="4" spans="1:6" ht="39.9" customHeight="1">
      <c r="A4" s="23" t="s">
        <v>64</v>
      </c>
      <c r="B4" s="267" t="s">
        <v>65</v>
      </c>
      <c r="C4" s="274" t="s">
        <v>1997</v>
      </c>
      <c r="D4" s="277" t="s">
        <v>1998</v>
      </c>
      <c r="E4" s="285" t="s">
        <v>1999</v>
      </c>
      <c r="F4" s="282" t="s">
        <v>2000</v>
      </c>
    </row>
    <row r="5" spans="1:6" ht="39.9" customHeight="1">
      <c r="A5" s="23" t="s">
        <v>66</v>
      </c>
      <c r="B5" s="267" t="s">
        <v>67</v>
      </c>
      <c r="C5" s="274" t="s">
        <v>68</v>
      </c>
      <c r="D5" s="277" t="s">
        <v>69</v>
      </c>
      <c r="E5" s="285" t="s">
        <v>70</v>
      </c>
      <c r="F5" s="282" t="s">
        <v>71</v>
      </c>
    </row>
    <row r="6" spans="1:6" ht="39.9" customHeight="1">
      <c r="A6" s="23" t="s">
        <v>72</v>
      </c>
      <c r="B6" s="267" t="s">
        <v>73</v>
      </c>
      <c r="C6" s="274" t="s">
        <v>74</v>
      </c>
      <c r="D6" s="277" t="s">
        <v>75</v>
      </c>
      <c r="E6" s="285" t="s">
        <v>76</v>
      </c>
      <c r="F6" s="282" t="s">
        <v>77</v>
      </c>
    </row>
    <row r="7" spans="1:6" ht="39.9"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5" sqref="A5"/>
    </sheetView>
  </sheetViews>
  <sheetFormatPr defaultRowHeight="14.4"/>
  <cols>
    <col min="1" max="1" width="15.6640625" customWidth="1"/>
    <col min="2" max="2" width="10.332031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filterMode="1">
    <tabColor rgb="FFFFC000"/>
  </sheetPr>
  <dimension ref="A1:L1156"/>
  <sheetViews>
    <sheetView zoomScale="90" zoomScaleNormal="90" workbookViewId="0">
      <pane ySplit="1" topLeftCell="A812" activePane="bottomLeft" state="frozen"/>
      <selection pane="bottomLeft" activeCell="C940" sqref="C940"/>
    </sheetView>
  </sheetViews>
  <sheetFormatPr defaultColWidth="9.33203125" defaultRowHeight="14.4"/>
  <cols>
    <col min="1" max="1" width="26" style="25" customWidth="1"/>
    <col min="2" max="2" width="15.6640625" style="25" customWidth="1"/>
    <col min="3" max="3" width="15.6640625" style="26" customWidth="1"/>
    <col min="4" max="4" width="15.6640625" style="7" customWidth="1"/>
    <col min="5" max="5" width="108.6640625" style="27" customWidth="1"/>
    <col min="6" max="10" width="10.6640625" style="7" customWidth="1"/>
    <col min="11" max="11" width="9.44140625" style="7" bestFit="1" customWidth="1"/>
    <col min="12" max="12" width="94" style="57" customWidth="1"/>
    <col min="13" max="16384" width="9.33203125" style="2"/>
  </cols>
  <sheetData>
    <row r="1" spans="1:12" s="5" customFormat="1" ht="30" customHeigh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hidden="1">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hidden="1">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hidden="1">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hidden="1">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hidden="1">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hidden="1">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hidden="1">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hidden="1">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hidden="1">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hidden="1">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hidden="1">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hidden="1">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hidden="1">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hidden="1">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hidden="1">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hidden="1">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hidden="1">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hidden="1">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hidden="1">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 hidden="1"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hidden="1">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hidden="1">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hidden="1">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hidden="1">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hidden="1">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hidden="1">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hidden="1">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hidden="1">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hidden="1">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hidden="1">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hidden="1">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hidden="1">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hidden="1">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hidden="1">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hidden="1">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hidden="1">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hidden="1">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hidden="1">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hidden="1">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hidden="1">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hidden="1">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hidden="1">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hidden="1">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hidden="1">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hidden="1">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hidden="1">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hidden="1">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hidden="1">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hidden="1">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hidden="1">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hidden="1">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hidden="1">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hidden="1">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hidden="1">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hidden="1">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hidden="1">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hidden="1">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hidden="1">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hidden="1">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hidden="1">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hidden="1">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hidden="1">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hidden="1">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hidden="1">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hidden="1">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hidden="1">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hidden="1">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hidden="1">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hidden="1">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hidden="1">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hidden="1">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hidden="1">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hidden="1">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hidden="1">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hidden="1">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hidden="1">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hidden="1">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hidden="1">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hidden="1">
      <c r="A80" s="34" t="s">
        <v>109</v>
      </c>
      <c r="B80" s="339">
        <v>1999</v>
      </c>
      <c r="C80" s="59" t="s">
        <v>91</v>
      </c>
      <c r="D80" s="59">
        <v>0</v>
      </c>
      <c r="E80" s="636" t="s">
        <v>110</v>
      </c>
      <c r="F80" s="9">
        <v>1</v>
      </c>
      <c r="G80" s="9">
        <v>1</v>
      </c>
      <c r="H80" s="9">
        <v>1</v>
      </c>
      <c r="I80" s="9">
        <v>2</v>
      </c>
      <c r="J80" s="43">
        <v>2</v>
      </c>
      <c r="K80" s="262">
        <f t="shared" si="1"/>
        <v>0.35859414261160716</v>
      </c>
      <c r="L80" s="163" t="s">
        <v>111</v>
      </c>
    </row>
    <row r="81" spans="1:12" hidden="1">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hidden="1">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hidden="1">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hidden="1">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hidden="1">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hidden="1">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hidden="1">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hidden="1">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hidden="1">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hidden="1">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hidden="1">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hidden="1">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hidden="1">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hidden="1">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hidden="1">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hidden="1">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hidden="1">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hidden="1">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hidden="1">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hidden="1">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hidden="1">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hidden="1">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hidden="1">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hidden="1">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hidden="1">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hidden="1">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hidden="1">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hidden="1">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hidden="1">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hidden="1">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hidden="1">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hidden="1">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hidden="1">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hidden="1">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hidden="1">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hidden="1">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hidden="1">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hidden="1">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hidden="1">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hidden="1">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hidden="1">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hidden="1">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hidden="1">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hidden="1">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hidden="1">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hidden="1">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hidden="1">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hidden="1">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hidden="1">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hidden="1">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hidden="1">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hidden="1">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hidden="1">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hidden="1">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hidden="1">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hidden="1">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hidden="1">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hidden="1">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hidden="1">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hidden="1">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hidden="1">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hidden="1">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hidden="1">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hidden="1">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hidden="1">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hidden="1">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hidden="1">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hidden="1">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hidden="1">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hidden="1">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hidden="1">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hidden="1">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hidden="1">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hidden="1">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hidden="1">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hidden="1">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hidden="1">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hidden="1">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hidden="1">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hidden="1">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hidden="1">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hidden="1">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hidden="1">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hidden="1">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hidden="1">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hidden="1">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hidden="1">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hidden="1">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hidden="1">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hidden="1">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hidden="1">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hidden="1">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hidden="1">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hidden="1">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hidden="1">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hidden="1">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hidden="1">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hidden="1">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hidden="1">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hidden="1">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hidden="1">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hidden="1">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hidden="1">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hidden="1">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hidden="1">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hidden="1">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hidden="1">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hidden="1">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hidden="1">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hidden="1">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hidden="1">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hidden="1">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hidden="1">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hidden="1">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hidden="1">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hidden="1">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hidden="1">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hidden="1">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hidden="1">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hidden="1">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hidden="1">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hidden="1">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hidden="1">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hidden="1">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hidden="1">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hidden="1">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hidden="1">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hidden="1">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hidden="1">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hidden="1">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hidden="1">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hidden="1">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hidden="1">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hidden="1">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hidden="1">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hidden="1">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hidden="1">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hidden="1">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hidden="1">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hidden="1">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hidden="1">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hidden="1">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hidden="1">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hidden="1">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hidden="1">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hidden="1">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hidden="1">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hidden="1">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hidden="1">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hidden="1">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hidden="1">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hidden="1">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hidden="1">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hidden="1">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hidden="1">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hidden="1">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hidden="1">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hidden="1">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hidden="1">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hidden="1">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hidden="1">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hidden="1">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hidden="1">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hidden="1">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hidden="1">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hidden="1">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hidden="1">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hidden="1">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hidden="1">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hidden="1">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hidden="1">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hidden="1">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hidden="1">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hidden="1">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hidden="1">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hidden="1">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hidden="1">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hidden="1">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hidden="1">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hidden="1">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hidden="1">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hidden="1">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hidden="1">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hidden="1">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hidden="1">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hidden="1">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hidden="1">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hidden="1">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hidden="1">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hidden="1">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hidden="1">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hidden="1">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hidden="1">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hidden="1">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hidden="1">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hidden="1">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hidden="1">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hidden="1">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hidden="1">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hidden="1">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hidden="1">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hidden="1">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hidden="1">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hidden="1">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hidden="1">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hidden="1">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hidden="1">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hidden="1">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hidden="1">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hidden="1">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hidden="1">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hidden="1">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hidden="1">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hidden="1">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hidden="1">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hidden="1">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hidden="1">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hidden="1">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hidden="1">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hidden="1">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hidden="1">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hidden="1">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hidden="1">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hidden="1">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hidden="1">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hidden="1">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hidden="1">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hidden="1">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hidden="1">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hidden="1">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hidden="1">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hidden="1">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hidden="1">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hidden="1">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hidden="1">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hidden="1">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hidden="1">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hidden="1">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hidden="1">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hidden="1">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hidden="1">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hidden="1">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hidden="1">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hidden="1">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hidden="1">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hidden="1">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hidden="1">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hidden="1">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hidden="1">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hidden="1">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hidden="1">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hidden="1">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hidden="1">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hidden="1">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hidden="1">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hidden="1">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hidden="1">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hidden="1">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hidden="1">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hidden="1">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hidden="1">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hidden="1">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hidden="1">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hidden="1">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hidden="1">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hidden="1">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hidden="1">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hidden="1">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hidden="1">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hidden="1">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hidden="1">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hidden="1">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hidden="1">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hidden="1">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hidden="1">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hidden="1">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hidden="1">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hidden="1">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hidden="1">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hidden="1">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hidden="1">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hidden="1">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hidden="1">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hidden="1">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hidden="1">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hidden="1">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hidden="1">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hidden="1">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hidden="1">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hidden="1">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hidden="1">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idden="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hidden="1">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hidden="1">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hidden="1">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hidden="1">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 hidden="1"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hidden="1">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hidden="1">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hidden="1">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hidden="1">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hidden="1">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hidden="1">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hidden="1">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hidden="1">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hidden="1">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hidden="1">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hidden="1">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hidden="1">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hidden="1">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hidden="1">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hidden="1">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hidden="1">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hidden="1">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hidden="1">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hidden="1">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hidden="1">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hidden="1">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hidden="1">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hidden="1">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hidden="1">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hidden="1">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hidden="1">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hidden="1">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hidden="1">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hidden="1">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hidden="1">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hidden="1">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hidden="1">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hidden="1">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hidden="1">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hidden="1">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hidden="1">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hidden="1">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hidden="1">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hidden="1">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hidden="1">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hidden="1">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hidden="1">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hidden="1">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hidden="1">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hidden="1">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hidden="1">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hidden="1">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hidden="1">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hidden="1">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hidden="1">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hidden="1">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hidden="1">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hidden="1">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hidden="1">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hidden="1">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hidden="1">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hidden="1">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hidden="1">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hidden="1">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hidden="1">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hidden="1">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hidden="1">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hidden="1">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hidden="1">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hidden="1">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hidden="1">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hidden="1">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hidden="1">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hidden="1">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hidden="1">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hidden="1">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hidden="1">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hidden="1">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hidden="1">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hidden="1">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hidden="1">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hidden="1">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hidden="1">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hidden="1">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hidden="1">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hidden="1">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hidden="1">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hidden="1">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hidden="1">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hidden="1">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hidden="1">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hidden="1">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hidden="1">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hidden="1">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hidden="1">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hidden="1">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hidden="1">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hidden="1">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hidden="1">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hidden="1">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hidden="1">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hidden="1">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hidden="1">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hidden="1">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hidden="1">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hidden="1">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hidden="1">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hidden="1">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hidden="1">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hidden="1">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hidden="1">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hidden="1">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hidden="1">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hidden="1">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hidden="1">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hidden="1">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hidden="1">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hidden="1">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hidden="1">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hidden="1">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hidden="1">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hidden="1">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hidden="1">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hidden="1">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hidden="1">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hidden="1">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hidden="1">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hidden="1">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hidden="1">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hidden="1">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hidden="1">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hidden="1">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hidden="1">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hidden="1">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hidden="1">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hidden="1">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hidden="1">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hidden="1">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hidden="1">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hidden="1">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hidden="1">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hidden="1">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hidden="1">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hidden="1">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hidden="1">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hidden="1">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hidden="1">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hidden="1">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hidden="1">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hidden="1">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hidden="1">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hidden="1">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hidden="1">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hidden="1">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hidden="1">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hidden="1">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hidden="1">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hidden="1">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hidden="1">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hidden="1">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hidden="1">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hidden="1">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hidden="1">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hidden="1">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hidden="1">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hidden="1">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hidden="1">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hidden="1">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hidden="1">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hidden="1">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hidden="1">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hidden="1">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hidden="1">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hidden="1">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hidden="1">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hidden="1">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hidden="1">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hidden="1">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hidden="1">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hidden="1">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hidden="1">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hidden="1">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hidden="1">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hidden="1">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hidden="1">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hidden="1">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hidden="1">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hidden="1">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hidden="1">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hidden="1">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hidden="1">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hidden="1">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hidden="1">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hidden="1">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hidden="1">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hidden="1">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hidden="1">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hidden="1">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hidden="1">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hidden="1">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hidden="1">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hidden="1">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hidden="1">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hidden="1">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hidden="1">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hidden="1">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hidden="1">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hidden="1">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hidden="1">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hidden="1">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hidden="1">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hidden="1">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hidden="1">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hidden="1">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hidden="1">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hidden="1">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hidden="1">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hidden="1">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hidden="1">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hidden="1">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hidden="1">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hidden="1">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hidden="1">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hidden="1">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hidden="1">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hidden="1">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hidden="1">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hidden="1">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hidden="1">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hidden="1">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hidden="1">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hidden="1">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hidden="1">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hidden="1">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hidden="1">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hidden="1">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hidden="1">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hidden="1">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hidden="1">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hidden="1">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hidden="1">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hidden="1">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hidden="1">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hidden="1">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hidden="1">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hidden="1">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hidden="1">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hidden="1">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hidden="1">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hidden="1">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hidden="1">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hidden="1">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hidden="1">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hidden="1">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hidden="1">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hidden="1">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hidden="1">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hidden="1">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hidden="1">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hidden="1">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hidden="1">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hidden="1">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hidden="1">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hidden="1">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hidden="1">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hidden="1">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hidden="1">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hidden="1">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hidden="1">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hidden="1">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hidden="1">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hidden="1">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hidden="1">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hidden="1">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hidden="1">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hidden="1">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hidden="1">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hidden="1">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hidden="1">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hidden="1">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hidden="1">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hidden="1">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hidden="1">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hidden="1">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hidden="1">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hidden="1">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hidden="1">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hidden="1">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hidden="1">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hidden="1">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hidden="1">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hidden="1">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hidden="1">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hidden="1">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hidden="1">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hidden="1">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hidden="1">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hidden="1">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hidden="1">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hidden="1">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hidden="1">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hidden="1">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hidden="1">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hidden="1">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hidden="1">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hidden="1">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hidden="1">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hidden="1">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hidden="1">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hidden="1">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hidden="1">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hidden="1">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hidden="1">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hidden="1">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hidden="1">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hidden="1">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hidden="1">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hidden="1">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hidden="1">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hidden="1">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hidden="1">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hidden="1">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hidden="1">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hidden="1">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hidden="1">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hidden="1">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hidden="1">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hidden="1">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hidden="1">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hidden="1">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hidden="1">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hidden="1">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hidden="1">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hidden="1">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hidden="1">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hidden="1">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hidden="1">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hidden="1">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hidden="1">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hidden="1">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hidden="1">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hidden="1">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hidden="1">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hidden="1">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hidden="1">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hidden="1">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hidden="1">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hidden="1">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hidden="1">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hidden="1">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hidden="1">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hidden="1">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hidden="1">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hidden="1">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hidden="1">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idden="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hidden="1">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hidden="1">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hidden="1">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hidden="1">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hidden="1">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hidden="1">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hidden="1">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hidden="1">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hidden="1">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hidden="1">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hidden="1">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hidden="1">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 hidden="1"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hidden="1">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hidden="1">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hidden="1">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hidden="1">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hidden="1">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hidden="1">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hidden="1">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hidden="1">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hidden="1">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hidden="1">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hidden="1">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hidden="1">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hidden="1">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hidden="1">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hidden="1">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hidden="1">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hidden="1">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hidden="1">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hidden="1">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hidden="1">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hidden="1">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hidden="1">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hidden="1">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hidden="1">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hidden="1">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hidden="1">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hidden="1">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hidden="1">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hidden="1">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hidden="1">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hidden="1">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hidden="1">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hidden="1">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hidden="1">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hidden="1">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hidden="1">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hidden="1">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hidden="1">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hidden="1">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idden="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hidden="1">
      <c r="A782" s="433" t="s">
        <v>118</v>
      </c>
      <c r="B782" s="39">
        <v>2015</v>
      </c>
      <c r="C782" s="33" t="s">
        <v>99</v>
      </c>
      <c r="D782" s="792">
        <v>66.732831428571416</v>
      </c>
      <c r="E782" s="150" t="s">
        <v>119</v>
      </c>
      <c r="F782" s="28">
        <v>1</v>
      </c>
      <c r="G782" s="11">
        <v>1</v>
      </c>
      <c r="H782" s="11">
        <v>3</v>
      </c>
      <c r="I782" s="11">
        <v>1</v>
      </c>
      <c r="J782" s="42">
        <v>2</v>
      </c>
      <c r="K782" s="261">
        <f t="shared" ref="K782:K789" si="13">IF( OR( ISBLANK(F782),ISBLANK(G782), ISBLANK(H782), ISBLANK(I782), ISBLANK(J782) ), "", 1.5*SQRT(   EXP(2.21*(F782-1)) + EXP(2.21*(G782-1)) + EXP(2.21*(H782-1)) + EXP(2.21*(I782-1)) + EXP(2.21*J782)   )/100*2.45 )</f>
        <v>0.47802211380704585</v>
      </c>
      <c r="L782" s="800" t="s">
        <v>120</v>
      </c>
    </row>
    <row r="783" spans="1:12" hidden="1">
      <c r="A783" s="364" t="s">
        <v>118</v>
      </c>
      <c r="B783" s="40">
        <v>2020</v>
      </c>
      <c r="C783" s="34" t="s">
        <v>99</v>
      </c>
      <c r="D783" s="793">
        <v>54.081600000000002</v>
      </c>
      <c r="E783" s="151" t="s">
        <v>119</v>
      </c>
      <c r="F783" s="29">
        <v>1</v>
      </c>
      <c r="G783" s="9">
        <v>1</v>
      </c>
      <c r="H783" s="9">
        <v>3</v>
      </c>
      <c r="I783" s="9">
        <v>1</v>
      </c>
      <c r="J783" s="43">
        <v>2</v>
      </c>
      <c r="K783" s="262">
        <f t="shared" si="13"/>
        <v>0.47802211380704585</v>
      </c>
      <c r="L783" s="314" t="s">
        <v>120</v>
      </c>
    </row>
    <row r="784" spans="1:12" hidden="1">
      <c r="A784" s="364" t="s">
        <v>118</v>
      </c>
      <c r="B784" s="40">
        <v>2016</v>
      </c>
      <c r="C784" s="34" t="s">
        <v>99</v>
      </c>
      <c r="D784" s="793">
        <v>53.115857142857152</v>
      </c>
      <c r="E784" s="151" t="s">
        <v>119</v>
      </c>
      <c r="F784" s="29">
        <v>1</v>
      </c>
      <c r="G784" s="9">
        <v>1</v>
      </c>
      <c r="H784" s="9">
        <v>3</v>
      </c>
      <c r="I784" s="9">
        <v>1</v>
      </c>
      <c r="J784" s="43">
        <v>2</v>
      </c>
      <c r="K784" s="262">
        <f t="shared" si="13"/>
        <v>0.47802211380704585</v>
      </c>
      <c r="L784" s="314" t="s">
        <v>120</v>
      </c>
    </row>
    <row r="785" spans="1:12" hidden="1">
      <c r="A785" s="364" t="s">
        <v>118</v>
      </c>
      <c r="B785" s="40">
        <v>2021</v>
      </c>
      <c r="C785" s="34" t="s">
        <v>99</v>
      </c>
      <c r="D785" s="793">
        <v>52.874421428571424</v>
      </c>
      <c r="E785" s="151" t="s">
        <v>119</v>
      </c>
      <c r="F785" s="29">
        <v>1</v>
      </c>
      <c r="G785" s="9">
        <v>1</v>
      </c>
      <c r="H785" s="9">
        <v>3</v>
      </c>
      <c r="I785" s="9">
        <v>1</v>
      </c>
      <c r="J785" s="43">
        <v>2</v>
      </c>
      <c r="K785" s="262">
        <f t="shared" si="13"/>
        <v>0.47802211380704585</v>
      </c>
      <c r="L785" s="314" t="s">
        <v>120</v>
      </c>
    </row>
    <row r="786" spans="1:12" hidden="1">
      <c r="A786" s="364" t="s">
        <v>118</v>
      </c>
      <c r="B786" s="40">
        <v>2017</v>
      </c>
      <c r="C786" s="34" t="s">
        <v>99</v>
      </c>
      <c r="D786" s="793">
        <v>52.681272857142851</v>
      </c>
      <c r="E786" s="151" t="s">
        <v>119</v>
      </c>
      <c r="F786" s="29">
        <v>1</v>
      </c>
      <c r="G786" s="9">
        <v>1</v>
      </c>
      <c r="H786" s="9">
        <v>3</v>
      </c>
      <c r="I786" s="9">
        <v>1</v>
      </c>
      <c r="J786" s="43">
        <v>2</v>
      </c>
      <c r="K786" s="262">
        <f t="shared" si="13"/>
        <v>0.47802211380704585</v>
      </c>
      <c r="L786" s="314" t="s">
        <v>120</v>
      </c>
    </row>
    <row r="787" spans="1:12" hidden="1">
      <c r="A787" s="364" t="s">
        <v>118</v>
      </c>
      <c r="B787" s="40">
        <v>2018</v>
      </c>
      <c r="C787" s="34" t="s">
        <v>99</v>
      </c>
      <c r="D787" s="793">
        <v>52.246688571428557</v>
      </c>
      <c r="E787" s="151" t="s">
        <v>119</v>
      </c>
      <c r="F787" s="29">
        <v>1</v>
      </c>
      <c r="G787" s="9">
        <v>1</v>
      </c>
      <c r="H787" s="9">
        <v>3</v>
      </c>
      <c r="I787" s="9">
        <v>1</v>
      </c>
      <c r="J787" s="43">
        <v>2</v>
      </c>
      <c r="K787" s="262">
        <f t="shared" si="13"/>
        <v>0.47802211380704585</v>
      </c>
      <c r="L787" s="314" t="s">
        <v>120</v>
      </c>
    </row>
    <row r="788" spans="1:12" hidden="1">
      <c r="A788" s="364" t="s">
        <v>118</v>
      </c>
      <c r="B788" s="40">
        <v>2019</v>
      </c>
      <c r="C788" s="34" t="s">
        <v>99</v>
      </c>
      <c r="D788" s="793">
        <v>51.232658571428573</v>
      </c>
      <c r="E788" s="151" t="s">
        <v>119</v>
      </c>
      <c r="F788" s="29">
        <v>1</v>
      </c>
      <c r="G788" s="9">
        <v>1</v>
      </c>
      <c r="H788" s="9">
        <v>3</v>
      </c>
      <c r="I788" s="9">
        <v>1</v>
      </c>
      <c r="J788" s="43">
        <v>2</v>
      </c>
      <c r="K788" s="262">
        <f t="shared" si="13"/>
        <v>0.47802211380704585</v>
      </c>
      <c r="L788" s="314" t="s">
        <v>120</v>
      </c>
    </row>
    <row r="789" spans="1:12" ht="15" hidden="1" thickBot="1">
      <c r="A789" s="434" t="s">
        <v>118</v>
      </c>
      <c r="B789" s="41">
        <v>2022</v>
      </c>
      <c r="C789" s="35" t="s">
        <v>99</v>
      </c>
      <c r="D789" s="796">
        <v>47.417974285714294</v>
      </c>
      <c r="E789" s="152" t="s">
        <v>119</v>
      </c>
      <c r="F789" s="30">
        <v>1</v>
      </c>
      <c r="G789" s="12">
        <v>1</v>
      </c>
      <c r="H789" s="12">
        <v>3</v>
      </c>
      <c r="I789" s="12">
        <v>1</v>
      </c>
      <c r="J789" s="44">
        <v>2</v>
      </c>
      <c r="K789" s="263">
        <f t="shared" si="13"/>
        <v>0.47802211380704585</v>
      </c>
      <c r="L789" s="801" t="s">
        <v>120</v>
      </c>
    </row>
    <row r="790" spans="1:12" hidden="1">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hidden="1">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hidden="1">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hidden="1">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hidden="1">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hidden="1">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hidden="1">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hidden="1">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hidden="1">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hidden="1">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hidden="1">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hidden="1">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hidden="1">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hidden="1">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hidden="1">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hidden="1">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hidden="1">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hidden="1">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hidden="1">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hidden="1">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hidden="1">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 hidden="1"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c r="A812" t="s">
        <v>2039</v>
      </c>
      <c r="B812">
        <f>Clothing!B20</f>
        <v>2011</v>
      </c>
      <c r="C812" t="str">
        <f>Clothing!C20</f>
        <v>Acryl</v>
      </c>
      <c r="D812">
        <f>Clothing!K20</f>
        <v>1.6237025191721981</v>
      </c>
      <c r="E812" t="s">
        <v>2040</v>
      </c>
      <c r="F812">
        <f>Clothing!O20</f>
        <v>1</v>
      </c>
      <c r="G812">
        <f>Clothing!P20</f>
        <v>1</v>
      </c>
      <c r="H812">
        <f>Clothing!Q20</f>
        <v>2</v>
      </c>
      <c r="I812">
        <f>Clothing!R20</f>
        <v>2</v>
      </c>
      <c r="J812">
        <f>Clothing!S20</f>
        <v>2</v>
      </c>
      <c r="K812">
        <f t="shared" si="12"/>
        <v>0.37356464144298934</v>
      </c>
    </row>
    <row r="813" spans="1:12">
      <c r="A813" t="s">
        <v>2039</v>
      </c>
      <c r="B813">
        <f>Clothing!B21</f>
        <v>2011</v>
      </c>
      <c r="C813" t="str">
        <f>Clothing!C21</f>
        <v>OTHER</v>
      </c>
      <c r="D813">
        <f>Clothing!K21</f>
        <v>2.4006891002869168</v>
      </c>
      <c r="E813" t="s">
        <v>2040</v>
      </c>
      <c r="F813">
        <f>Clothing!O21</f>
        <v>1</v>
      </c>
      <c r="G813">
        <f>Clothing!P21</f>
        <v>1</v>
      </c>
      <c r="H813">
        <f>Clothing!Q21</f>
        <v>2</v>
      </c>
      <c r="I813">
        <f>Clothing!R21</f>
        <v>2</v>
      </c>
      <c r="J813">
        <f>Clothing!S21</f>
        <v>2</v>
      </c>
      <c r="K813">
        <f t="shared" si="12"/>
        <v>0.37356464144298934</v>
      </c>
    </row>
    <row r="814" spans="1:12">
      <c r="A814" t="s">
        <v>2039</v>
      </c>
      <c r="B814">
        <f>Clothing!B22</f>
        <v>2011</v>
      </c>
      <c r="C814" t="str">
        <f>Clothing!C22</f>
        <v>PA</v>
      </c>
      <c r="D814">
        <f>Clothing!K22</f>
        <v>5.5209911208314351</v>
      </c>
      <c r="E814" t="s">
        <v>2040</v>
      </c>
      <c r="F814">
        <f>Clothing!O22</f>
        <v>1</v>
      </c>
      <c r="G814">
        <f>Clothing!P22</f>
        <v>1</v>
      </c>
      <c r="H814">
        <f>Clothing!Q22</f>
        <v>2</v>
      </c>
      <c r="I814">
        <f>Clothing!R22</f>
        <v>2</v>
      </c>
      <c r="J814">
        <f>Clothing!S22</f>
        <v>2</v>
      </c>
      <c r="K814">
        <f t="shared" si="12"/>
        <v>0.37356464144298934</v>
      </c>
    </row>
    <row r="815" spans="1:12">
      <c r="A815" t="s">
        <v>2039</v>
      </c>
      <c r="B815">
        <f>Clothing!B23</f>
        <v>2011</v>
      </c>
      <c r="C815" t="str">
        <f>Clothing!C23</f>
        <v>PET</v>
      </c>
      <c r="D815">
        <f>Clothing!K23</f>
        <v>15.193629664364018</v>
      </c>
      <c r="E815" t="s">
        <v>2040</v>
      </c>
      <c r="F815">
        <f>Clothing!O23</f>
        <v>1</v>
      </c>
      <c r="G815">
        <f>Clothing!P23</f>
        <v>1</v>
      </c>
      <c r="H815">
        <f>Clothing!Q23</f>
        <v>2</v>
      </c>
      <c r="I815">
        <f>Clothing!R23</f>
        <v>2</v>
      </c>
      <c r="J815">
        <f>Clothing!S23</f>
        <v>2</v>
      </c>
      <c r="K815">
        <f t="shared" si="12"/>
        <v>0.37356464144298934</v>
      </c>
    </row>
    <row r="816" spans="1:12">
      <c r="A816" t="s">
        <v>2039</v>
      </c>
      <c r="B816">
        <f>Clothing!B24</f>
        <v>2011</v>
      </c>
      <c r="C816" t="str">
        <f>Clothing!C24</f>
        <v>PUR</v>
      </c>
      <c r="D816">
        <f>Clothing!K24</f>
        <v>2.5409901520829901</v>
      </c>
      <c r="E816" t="s">
        <v>2040</v>
      </c>
      <c r="F816">
        <f>Clothing!O24</f>
        <v>1</v>
      </c>
      <c r="G816">
        <f>Clothing!P24</f>
        <v>1</v>
      </c>
      <c r="H816">
        <f>Clothing!Q24</f>
        <v>2</v>
      </c>
      <c r="I816">
        <f>Clothing!R24</f>
        <v>2</v>
      </c>
      <c r="J816">
        <f>Clothing!S24</f>
        <v>2</v>
      </c>
      <c r="K816">
        <f t="shared" si="12"/>
        <v>0.37356464144298934</v>
      </c>
    </row>
    <row r="817" spans="1:11">
      <c r="A817" t="s">
        <v>2039</v>
      </c>
      <c r="B817">
        <f>Clothing!B25</f>
        <v>2011</v>
      </c>
      <c r="C817" t="str">
        <f>Clothing!C25</f>
        <v>PVC</v>
      </c>
      <c r="D817">
        <f>Clothing!K25</f>
        <v>1.5402493938764372</v>
      </c>
      <c r="E817" t="s">
        <v>2040</v>
      </c>
      <c r="F817">
        <f>Clothing!O25</f>
        <v>1</v>
      </c>
      <c r="G817">
        <f>Clothing!P25</f>
        <v>1</v>
      </c>
      <c r="H817">
        <f>Clothing!Q25</f>
        <v>2</v>
      </c>
      <c r="I817">
        <f>Clothing!R25</f>
        <v>2</v>
      </c>
      <c r="J817">
        <f>Clothing!S25</f>
        <v>2</v>
      </c>
      <c r="K817">
        <f t="shared" si="12"/>
        <v>0.37356464144298934</v>
      </c>
    </row>
    <row r="818" spans="1:11">
      <c r="A818" t="s">
        <v>2039</v>
      </c>
      <c r="B818">
        <f>Clothing!B26</f>
        <v>2011</v>
      </c>
      <c r="C818" t="str">
        <f>Clothing!C26</f>
        <v>RUBBER</v>
      </c>
      <c r="D818">
        <f>Clothing!K26</f>
        <v>1.9686961598824033</v>
      </c>
      <c r="E818" t="s">
        <v>2040</v>
      </c>
      <c r="F818">
        <f>Clothing!O26</f>
        <v>1</v>
      </c>
      <c r="G818">
        <f>Clothing!P26</f>
        <v>1</v>
      </c>
      <c r="H818">
        <f>Clothing!Q26</f>
        <v>2</v>
      </c>
      <c r="I818">
        <f>Clothing!R26</f>
        <v>2</v>
      </c>
      <c r="J818">
        <f>Clothing!S26</f>
        <v>2</v>
      </c>
      <c r="K818">
        <f t="shared" si="12"/>
        <v>0.37356464144298934</v>
      </c>
    </row>
    <row r="819" spans="1:11">
      <c r="A819" t="s">
        <v>2039</v>
      </c>
      <c r="B819">
        <f>Clothing!B27</f>
        <v>2012</v>
      </c>
      <c r="C819" t="str">
        <f>Clothing!C27</f>
        <v>Acryl</v>
      </c>
      <c r="D819">
        <f>Clothing!K27</f>
        <v>1.6522743597849296</v>
      </c>
      <c r="E819" t="s">
        <v>2040</v>
      </c>
      <c r="F819">
        <f>Clothing!O27</f>
        <v>1</v>
      </c>
      <c r="G819">
        <f>Clothing!P27</f>
        <v>1</v>
      </c>
      <c r="H819">
        <f>Clothing!Q27</f>
        <v>2</v>
      </c>
      <c r="I819">
        <f>Clothing!R27</f>
        <v>2</v>
      </c>
      <c r="J819">
        <f>Clothing!S27</f>
        <v>2</v>
      </c>
      <c r="K819">
        <f t="shared" si="12"/>
        <v>0.37356464144298934</v>
      </c>
    </row>
    <row r="820" spans="1:11">
      <c r="A820" t="s">
        <v>2039</v>
      </c>
      <c r="B820">
        <f>Clothing!B28</f>
        <v>2012</v>
      </c>
      <c r="C820" t="str">
        <f>Clothing!C28</f>
        <v>OTHER</v>
      </c>
      <c r="D820">
        <f>Clothing!K28</f>
        <v>1.9701336316227405</v>
      </c>
      <c r="E820" t="s">
        <v>2040</v>
      </c>
      <c r="F820">
        <f>Clothing!O28</f>
        <v>1</v>
      </c>
      <c r="G820">
        <f>Clothing!P28</f>
        <v>1</v>
      </c>
      <c r="H820">
        <f>Clothing!Q28</f>
        <v>2</v>
      </c>
      <c r="I820">
        <f>Clothing!R28</f>
        <v>2</v>
      </c>
      <c r="J820">
        <f>Clothing!S28</f>
        <v>2</v>
      </c>
      <c r="K820">
        <f t="shared" si="12"/>
        <v>0.37356464144298934</v>
      </c>
    </row>
    <row r="821" spans="1:11">
      <c r="A821" t="s">
        <v>2039</v>
      </c>
      <c r="B821">
        <f>Clothing!B29</f>
        <v>2012</v>
      </c>
      <c r="C821" t="str">
        <f>Clothing!C29</f>
        <v>PA</v>
      </c>
      <c r="D821">
        <f>Clothing!K29</f>
        <v>4.8447503962147964</v>
      </c>
      <c r="E821" t="s">
        <v>2040</v>
      </c>
      <c r="F821">
        <f>Clothing!O29</f>
        <v>1</v>
      </c>
      <c r="G821">
        <f>Clothing!P29</f>
        <v>1</v>
      </c>
      <c r="H821">
        <f>Clothing!Q29</f>
        <v>2</v>
      </c>
      <c r="I821">
        <f>Clothing!R29</f>
        <v>2</v>
      </c>
      <c r="J821">
        <f>Clothing!S29</f>
        <v>2</v>
      </c>
      <c r="K821">
        <f t="shared" si="12"/>
        <v>0.37356464144298934</v>
      </c>
    </row>
    <row r="822" spans="1:11">
      <c r="A822" t="s">
        <v>2039</v>
      </c>
      <c r="B822">
        <f>Clothing!B30</f>
        <v>2012</v>
      </c>
      <c r="C822" t="str">
        <f>Clothing!C30</f>
        <v>PET</v>
      </c>
      <c r="D822">
        <f>Clothing!K30</f>
        <v>15.824267568921501</v>
      </c>
      <c r="E822" t="s">
        <v>2040</v>
      </c>
      <c r="F822">
        <f>Clothing!O30</f>
        <v>1</v>
      </c>
      <c r="G822">
        <f>Clothing!P30</f>
        <v>1</v>
      </c>
      <c r="H822">
        <f>Clothing!Q30</f>
        <v>2</v>
      </c>
      <c r="I822">
        <f>Clothing!R30</f>
        <v>2</v>
      </c>
      <c r="J822">
        <f>Clothing!S30</f>
        <v>2</v>
      </c>
      <c r="K822">
        <f t="shared" si="12"/>
        <v>0.37356464144298934</v>
      </c>
    </row>
    <row r="823" spans="1:11">
      <c r="A823" t="s">
        <v>2039</v>
      </c>
      <c r="B823">
        <f>Clothing!B31</f>
        <v>2012</v>
      </c>
      <c r="C823" t="str">
        <f>Clothing!C31</f>
        <v>PUR</v>
      </c>
      <c r="D823">
        <f>Clothing!K31</f>
        <v>2.3548114078725195</v>
      </c>
      <c r="E823" t="s">
        <v>2040</v>
      </c>
      <c r="F823">
        <f>Clothing!O31</f>
        <v>1</v>
      </c>
      <c r="G823">
        <f>Clothing!P31</f>
        <v>1</v>
      </c>
      <c r="H823">
        <f>Clothing!Q31</f>
        <v>2</v>
      </c>
      <c r="I823">
        <f>Clothing!R31</f>
        <v>2</v>
      </c>
      <c r="J823">
        <f>Clothing!S31</f>
        <v>2</v>
      </c>
      <c r="K823">
        <f t="shared" si="12"/>
        <v>0.37356464144298934</v>
      </c>
    </row>
    <row r="824" spans="1:11">
      <c r="A824" t="s">
        <v>2039</v>
      </c>
      <c r="B824">
        <f>Clothing!B32</f>
        <v>2012</v>
      </c>
      <c r="C824" t="str">
        <f>Clothing!C32</f>
        <v>PVC</v>
      </c>
      <c r="D824">
        <f>Clothing!K32</f>
        <v>1.4157171662677168</v>
      </c>
      <c r="E824" t="s">
        <v>2040</v>
      </c>
      <c r="F824">
        <f>Clothing!O32</f>
        <v>1</v>
      </c>
      <c r="G824">
        <f>Clothing!P32</f>
        <v>1</v>
      </c>
      <c r="H824">
        <f>Clothing!Q32</f>
        <v>2</v>
      </c>
      <c r="I824">
        <f>Clothing!R32</f>
        <v>2</v>
      </c>
      <c r="J824">
        <f>Clothing!S32</f>
        <v>2</v>
      </c>
      <c r="K824">
        <f t="shared" si="12"/>
        <v>0.37356464144298934</v>
      </c>
    </row>
    <row r="825" spans="1:11">
      <c r="A825" t="s">
        <v>2039</v>
      </c>
      <c r="B825">
        <f>Clothing!B33</f>
        <v>2012</v>
      </c>
      <c r="C825" t="str">
        <f>Clothing!C33</f>
        <v>RUBBER</v>
      </c>
      <c r="D825">
        <f>Clothing!K33</f>
        <v>1.7076731557870968</v>
      </c>
      <c r="E825" t="s">
        <v>2040</v>
      </c>
      <c r="F825">
        <f>Clothing!O33</f>
        <v>1</v>
      </c>
      <c r="G825">
        <f>Clothing!P33</f>
        <v>1</v>
      </c>
      <c r="H825">
        <f>Clothing!Q33</f>
        <v>2</v>
      </c>
      <c r="I825">
        <f>Clothing!R33</f>
        <v>2</v>
      </c>
      <c r="J825">
        <f>Clothing!S33</f>
        <v>2</v>
      </c>
      <c r="K825">
        <f t="shared" si="12"/>
        <v>0.37356464144298934</v>
      </c>
    </row>
    <row r="826" spans="1:11">
      <c r="A826" t="s">
        <v>2039</v>
      </c>
      <c r="B826">
        <f>Clothing!B34</f>
        <v>2013</v>
      </c>
      <c r="C826" t="str">
        <f>Clothing!C34</f>
        <v>Acryl</v>
      </c>
      <c r="D826">
        <f>Clothing!K34</f>
        <v>1.5954357551010401</v>
      </c>
      <c r="E826" t="s">
        <v>2040</v>
      </c>
      <c r="F826">
        <f>Clothing!O34</f>
        <v>1</v>
      </c>
      <c r="G826">
        <f>Clothing!P34</f>
        <v>1</v>
      </c>
      <c r="H826">
        <f>Clothing!Q34</f>
        <v>2</v>
      </c>
      <c r="I826">
        <f>Clothing!R34</f>
        <v>2</v>
      </c>
      <c r="J826">
        <f>Clothing!S34</f>
        <v>2</v>
      </c>
      <c r="K826">
        <f t="shared" si="12"/>
        <v>0.37356464144298934</v>
      </c>
    </row>
    <row r="827" spans="1:11">
      <c r="A827" t="s">
        <v>2039</v>
      </c>
      <c r="B827">
        <f>Clothing!B35</f>
        <v>2013</v>
      </c>
      <c r="C827" t="str">
        <f>Clothing!C35</f>
        <v>OTHER</v>
      </c>
      <c r="D827">
        <f>Clothing!K35</f>
        <v>2.2081898364145029</v>
      </c>
      <c r="E827" t="s">
        <v>2040</v>
      </c>
      <c r="F827">
        <f>Clothing!O35</f>
        <v>1</v>
      </c>
      <c r="G827">
        <f>Clothing!P35</f>
        <v>1</v>
      </c>
      <c r="H827">
        <f>Clothing!Q35</f>
        <v>2</v>
      </c>
      <c r="I827">
        <f>Clothing!R35</f>
        <v>2</v>
      </c>
      <c r="J827">
        <f>Clothing!S35</f>
        <v>2</v>
      </c>
      <c r="K827">
        <f t="shared" si="12"/>
        <v>0.37356464144298934</v>
      </c>
    </row>
    <row r="828" spans="1:11">
      <c r="A828" t="s">
        <v>2039</v>
      </c>
      <c r="B828">
        <f>Clothing!B36</f>
        <v>2013</v>
      </c>
      <c r="C828" t="str">
        <f>Clothing!C36</f>
        <v>PA</v>
      </c>
      <c r="D828">
        <f>Clothing!K36</f>
        <v>4.9208912999779946</v>
      </c>
      <c r="E828" t="s">
        <v>2040</v>
      </c>
      <c r="F828">
        <f>Clothing!O36</f>
        <v>1</v>
      </c>
      <c r="G828">
        <f>Clothing!P36</f>
        <v>1</v>
      </c>
      <c r="H828">
        <f>Clothing!Q36</f>
        <v>2</v>
      </c>
      <c r="I828">
        <f>Clothing!R36</f>
        <v>2</v>
      </c>
      <c r="J828">
        <f>Clothing!S36</f>
        <v>2</v>
      </c>
      <c r="K828">
        <f t="shared" si="12"/>
        <v>0.37356464144298934</v>
      </c>
    </row>
    <row r="829" spans="1:11">
      <c r="A829" t="s">
        <v>2039</v>
      </c>
      <c r="B829">
        <f>Clothing!B37</f>
        <v>2013</v>
      </c>
      <c r="C829" t="str">
        <f>Clothing!C37</f>
        <v>PET</v>
      </c>
      <c r="D829">
        <f>Clothing!K37</f>
        <v>16.849379899160049</v>
      </c>
      <c r="E829" t="s">
        <v>2040</v>
      </c>
      <c r="F829">
        <f>Clothing!O37</f>
        <v>1</v>
      </c>
      <c r="G829">
        <f>Clothing!P37</f>
        <v>1</v>
      </c>
      <c r="H829">
        <f>Clothing!Q37</f>
        <v>2</v>
      </c>
      <c r="I829">
        <f>Clothing!R37</f>
        <v>2</v>
      </c>
      <c r="J829">
        <f>Clothing!S37</f>
        <v>2</v>
      </c>
      <c r="K829">
        <f t="shared" ref="K829:K892" si="14">IF( OR( ISBLANK(F829),ISBLANK(G829), ISBLANK(H829), ISBLANK(I829), ISBLANK(J829) ), "", 1.5*SQRT(   EXP(2.21*(F829-1)) + EXP(2.21*(G829-1)) + EXP(2.21*(H829-1)) + EXP(2.21*(I829-1)) + EXP(2.21*J829)   )/100*2.45 )</f>
        <v>0.37356464144298934</v>
      </c>
    </row>
    <row r="830" spans="1:11">
      <c r="A830" t="s">
        <v>2039</v>
      </c>
      <c r="B830">
        <f>Clothing!B38</f>
        <v>2013</v>
      </c>
      <c r="C830" t="str">
        <f>Clothing!C38</f>
        <v>PUR</v>
      </c>
      <c r="D830">
        <f>Clothing!K38</f>
        <v>2.4115147652126252</v>
      </c>
      <c r="E830" t="s">
        <v>2040</v>
      </c>
      <c r="F830">
        <f>Clothing!O38</f>
        <v>1</v>
      </c>
      <c r="G830">
        <f>Clothing!P38</f>
        <v>1</v>
      </c>
      <c r="H830">
        <f>Clothing!Q38</f>
        <v>2</v>
      </c>
      <c r="I830">
        <f>Clothing!R38</f>
        <v>2</v>
      </c>
      <c r="J830">
        <f>Clothing!S38</f>
        <v>2</v>
      </c>
      <c r="K830">
        <f t="shared" si="14"/>
        <v>0.37356464144298934</v>
      </c>
    </row>
    <row r="831" spans="1:11">
      <c r="A831" t="s">
        <v>2039</v>
      </c>
      <c r="B831">
        <f>Clothing!B39</f>
        <v>2013</v>
      </c>
      <c r="C831" t="str">
        <f>Clothing!C39</f>
        <v>PVC</v>
      </c>
      <c r="D831">
        <f>Clothing!K39</f>
        <v>1.4710856155231335</v>
      </c>
      <c r="E831" t="s">
        <v>2040</v>
      </c>
      <c r="F831">
        <f>Clothing!O39</f>
        <v>1</v>
      </c>
      <c r="G831">
        <f>Clothing!P39</f>
        <v>1</v>
      </c>
      <c r="H831">
        <f>Clothing!Q39</f>
        <v>2</v>
      </c>
      <c r="I831">
        <f>Clothing!R39</f>
        <v>2</v>
      </c>
      <c r="J831">
        <f>Clothing!S39</f>
        <v>2</v>
      </c>
      <c r="K831">
        <f t="shared" si="14"/>
        <v>0.37356464144298934</v>
      </c>
    </row>
    <row r="832" spans="1:11">
      <c r="A832" t="s">
        <v>2039</v>
      </c>
      <c r="B832">
        <f>Clothing!B40</f>
        <v>2013</v>
      </c>
      <c r="C832" t="str">
        <f>Clothing!C40</f>
        <v>RUBBER</v>
      </c>
      <c r="D832">
        <f>Clothing!K40</f>
        <v>1.9350169425510204</v>
      </c>
      <c r="E832" t="s">
        <v>2040</v>
      </c>
      <c r="F832">
        <f>Clothing!O40</f>
        <v>1</v>
      </c>
      <c r="G832">
        <f>Clothing!P40</f>
        <v>1</v>
      </c>
      <c r="H832">
        <f>Clothing!Q40</f>
        <v>2</v>
      </c>
      <c r="I832">
        <f>Clothing!R40</f>
        <v>2</v>
      </c>
      <c r="J832">
        <f>Clothing!S40</f>
        <v>2</v>
      </c>
      <c r="K832">
        <f t="shared" si="14"/>
        <v>0.37356464144298934</v>
      </c>
    </row>
    <row r="833" spans="1:11">
      <c r="A833" t="s">
        <v>2039</v>
      </c>
      <c r="B833">
        <f>Clothing!B41</f>
        <v>2014</v>
      </c>
      <c r="C833" t="str">
        <f>Clothing!C41</f>
        <v>Acryl</v>
      </c>
      <c r="D833">
        <f>Clothing!K41</f>
        <v>1.5404063704184963</v>
      </c>
      <c r="E833" t="s">
        <v>2040</v>
      </c>
      <c r="F833">
        <f>Clothing!O41</f>
        <v>1</v>
      </c>
      <c r="G833">
        <f>Clothing!P41</f>
        <v>1</v>
      </c>
      <c r="H833">
        <f>Clothing!Q41</f>
        <v>2</v>
      </c>
      <c r="I833">
        <f>Clothing!R41</f>
        <v>2</v>
      </c>
      <c r="J833">
        <f>Clothing!S41</f>
        <v>2</v>
      </c>
      <c r="K833">
        <f t="shared" si="14"/>
        <v>0.37356464144298934</v>
      </c>
    </row>
    <row r="834" spans="1:11">
      <c r="A834" t="s">
        <v>2039</v>
      </c>
      <c r="B834">
        <f>Clothing!B42</f>
        <v>2014</v>
      </c>
      <c r="C834" t="str">
        <f>Clothing!C42</f>
        <v>OTHER</v>
      </c>
      <c r="D834">
        <f>Clothing!K42</f>
        <v>2.5737536248991146</v>
      </c>
      <c r="E834" t="s">
        <v>2040</v>
      </c>
      <c r="F834">
        <f>Clothing!O42</f>
        <v>1</v>
      </c>
      <c r="G834">
        <f>Clothing!P42</f>
        <v>1</v>
      </c>
      <c r="H834">
        <f>Clothing!Q42</f>
        <v>2</v>
      </c>
      <c r="I834">
        <f>Clothing!R42</f>
        <v>2</v>
      </c>
      <c r="J834">
        <f>Clothing!S42</f>
        <v>2</v>
      </c>
      <c r="K834">
        <f t="shared" si="14"/>
        <v>0.37356464144298934</v>
      </c>
    </row>
    <row r="835" spans="1:11">
      <c r="A835" t="s">
        <v>2039</v>
      </c>
      <c r="B835">
        <f>Clothing!B43</f>
        <v>2014</v>
      </c>
      <c r="C835" t="str">
        <f>Clothing!C43</f>
        <v>PA</v>
      </c>
      <c r="D835">
        <f>Clothing!K43</f>
        <v>5.2255327979562249</v>
      </c>
      <c r="E835" t="s">
        <v>2040</v>
      </c>
      <c r="F835">
        <f>Clothing!O43</f>
        <v>1</v>
      </c>
      <c r="G835">
        <f>Clothing!P43</f>
        <v>1</v>
      </c>
      <c r="H835">
        <f>Clothing!Q43</f>
        <v>2</v>
      </c>
      <c r="I835">
        <f>Clothing!R43</f>
        <v>2</v>
      </c>
      <c r="J835">
        <f>Clothing!S43</f>
        <v>2</v>
      </c>
      <c r="K835">
        <f t="shared" si="14"/>
        <v>0.37356464144298934</v>
      </c>
    </row>
    <row r="836" spans="1:11">
      <c r="A836" t="s">
        <v>2039</v>
      </c>
      <c r="B836">
        <f>Clothing!B44</f>
        <v>2014</v>
      </c>
      <c r="C836" t="str">
        <f>Clothing!C44</f>
        <v>PET</v>
      </c>
      <c r="D836">
        <f>Clothing!K44</f>
        <v>17.801359571219631</v>
      </c>
      <c r="E836" t="s">
        <v>2040</v>
      </c>
      <c r="F836">
        <f>Clothing!O44</f>
        <v>1</v>
      </c>
      <c r="G836">
        <f>Clothing!P44</f>
        <v>1</v>
      </c>
      <c r="H836">
        <f>Clothing!Q44</f>
        <v>2</v>
      </c>
      <c r="I836">
        <f>Clothing!R44</f>
        <v>2</v>
      </c>
      <c r="J836">
        <f>Clothing!S44</f>
        <v>2</v>
      </c>
      <c r="K836">
        <f t="shared" si="14"/>
        <v>0.37356464144298934</v>
      </c>
    </row>
    <row r="837" spans="1:11">
      <c r="A837" t="s">
        <v>2039</v>
      </c>
      <c r="B837">
        <f>Clothing!B45</f>
        <v>2014</v>
      </c>
      <c r="C837" t="str">
        <f>Clothing!C45</f>
        <v>PUR</v>
      </c>
      <c r="D837">
        <f>Clothing!K45</f>
        <v>2.874671437870802</v>
      </c>
      <c r="E837" t="s">
        <v>2040</v>
      </c>
      <c r="F837">
        <f>Clothing!O45</f>
        <v>1</v>
      </c>
      <c r="G837">
        <f>Clothing!P45</f>
        <v>1</v>
      </c>
      <c r="H837">
        <f>Clothing!Q45</f>
        <v>2</v>
      </c>
      <c r="I837">
        <f>Clothing!R45</f>
        <v>2</v>
      </c>
      <c r="J837">
        <f>Clothing!S45</f>
        <v>2</v>
      </c>
      <c r="K837">
        <f t="shared" si="14"/>
        <v>0.37356464144298934</v>
      </c>
    </row>
    <row r="838" spans="1:11">
      <c r="A838" t="s">
        <v>2039</v>
      </c>
      <c r="B838">
        <f>Clothing!B46</f>
        <v>2014</v>
      </c>
      <c r="C838" t="str">
        <f>Clothing!C46</f>
        <v>PVC</v>
      </c>
      <c r="D838">
        <f>Clothing!K46</f>
        <v>1.751324202478677</v>
      </c>
      <c r="E838" t="s">
        <v>2040</v>
      </c>
      <c r="F838">
        <f>Clothing!O46</f>
        <v>1</v>
      </c>
      <c r="G838">
        <f>Clothing!P46</f>
        <v>1</v>
      </c>
      <c r="H838">
        <f>Clothing!Q46</f>
        <v>2</v>
      </c>
      <c r="I838">
        <f>Clothing!R46</f>
        <v>2</v>
      </c>
      <c r="J838">
        <f>Clothing!S46</f>
        <v>2</v>
      </c>
      <c r="K838">
        <f t="shared" si="14"/>
        <v>0.37356464144298934</v>
      </c>
    </row>
    <row r="839" spans="1:11">
      <c r="A839" t="s">
        <v>2039</v>
      </c>
      <c r="B839">
        <f>Clothing!B47</f>
        <v>2014</v>
      </c>
      <c r="C839" t="str">
        <f>Clothing!C47</f>
        <v>RUBBER</v>
      </c>
      <c r="D839">
        <f>Clothing!K47</f>
        <v>2.259098804879685</v>
      </c>
      <c r="E839" t="s">
        <v>2040</v>
      </c>
      <c r="F839">
        <f>Clothing!O47</f>
        <v>1</v>
      </c>
      <c r="G839">
        <f>Clothing!P47</f>
        <v>1</v>
      </c>
      <c r="H839">
        <f>Clothing!Q47</f>
        <v>2</v>
      </c>
      <c r="I839">
        <f>Clothing!R47</f>
        <v>2</v>
      </c>
      <c r="J839">
        <f>Clothing!S47</f>
        <v>2</v>
      </c>
      <c r="K839">
        <f t="shared" si="14"/>
        <v>0.37356464144298934</v>
      </c>
    </row>
    <row r="840" spans="1:11">
      <c r="A840" t="s">
        <v>2039</v>
      </c>
      <c r="B840">
        <f>Clothing!B48</f>
        <v>2015</v>
      </c>
      <c r="C840" t="str">
        <f>Clothing!C48</f>
        <v>Acryl</v>
      </c>
      <c r="D840">
        <f>Clothing!K48</f>
        <v>1.5060450065381654</v>
      </c>
      <c r="E840" t="s">
        <v>2040</v>
      </c>
      <c r="F840">
        <f>Clothing!O48</f>
        <v>1</v>
      </c>
      <c r="G840">
        <f>Clothing!P48</f>
        <v>1</v>
      </c>
      <c r="H840">
        <f>Clothing!Q48</f>
        <v>2</v>
      </c>
      <c r="I840">
        <f>Clothing!R48</f>
        <v>2</v>
      </c>
      <c r="J840">
        <f>Clothing!S48</f>
        <v>2</v>
      </c>
      <c r="K840">
        <f t="shared" si="14"/>
        <v>0.37356464144298934</v>
      </c>
    </row>
    <row r="841" spans="1:11">
      <c r="A841" t="s">
        <v>2039</v>
      </c>
      <c r="B841">
        <f>Clothing!B49</f>
        <v>2015</v>
      </c>
      <c r="C841" t="str">
        <f>Clothing!C49</f>
        <v>OTHER</v>
      </c>
      <c r="D841">
        <f>Clothing!K49</f>
        <v>2.479497331444235</v>
      </c>
      <c r="E841" t="s">
        <v>2040</v>
      </c>
      <c r="F841">
        <f>Clothing!O49</f>
        <v>1</v>
      </c>
      <c r="G841">
        <f>Clothing!P49</f>
        <v>1</v>
      </c>
      <c r="H841">
        <f>Clothing!Q49</f>
        <v>2</v>
      </c>
      <c r="I841">
        <f>Clothing!R49</f>
        <v>2</v>
      </c>
      <c r="J841">
        <f>Clothing!S49</f>
        <v>2</v>
      </c>
      <c r="K841">
        <f t="shared" si="14"/>
        <v>0.37356464144298934</v>
      </c>
    </row>
    <row r="842" spans="1:11">
      <c r="A842" t="s">
        <v>2039</v>
      </c>
      <c r="B842">
        <f>Clothing!B50</f>
        <v>2015</v>
      </c>
      <c r="C842" t="str">
        <f>Clothing!C50</f>
        <v>PA</v>
      </c>
      <c r="D842">
        <f>Clothing!K50</f>
        <v>4.8648354497808342</v>
      </c>
      <c r="E842" t="s">
        <v>2040</v>
      </c>
      <c r="F842">
        <f>Clothing!O50</f>
        <v>1</v>
      </c>
      <c r="G842">
        <f>Clothing!P50</f>
        <v>1</v>
      </c>
      <c r="H842">
        <f>Clothing!Q50</f>
        <v>2</v>
      </c>
      <c r="I842">
        <f>Clothing!R50</f>
        <v>2</v>
      </c>
      <c r="J842">
        <f>Clothing!S50</f>
        <v>2</v>
      </c>
      <c r="K842">
        <f t="shared" si="14"/>
        <v>0.37356464144298934</v>
      </c>
    </row>
    <row r="843" spans="1:11">
      <c r="A843" t="s">
        <v>2039</v>
      </c>
      <c r="B843">
        <f>Clothing!B51</f>
        <v>2015</v>
      </c>
      <c r="C843" t="str">
        <f>Clothing!C51</f>
        <v>PET</v>
      </c>
      <c r="D843">
        <f>Clothing!K51</f>
        <v>16.52617399214466</v>
      </c>
      <c r="E843" t="s">
        <v>2040</v>
      </c>
      <c r="F843">
        <f>Clothing!O51</f>
        <v>1</v>
      </c>
      <c r="G843">
        <f>Clothing!P51</f>
        <v>1</v>
      </c>
      <c r="H843">
        <f>Clothing!Q51</f>
        <v>2</v>
      </c>
      <c r="I843">
        <f>Clothing!R51</f>
        <v>2</v>
      </c>
      <c r="J843">
        <f>Clothing!S51</f>
        <v>2</v>
      </c>
      <c r="K843">
        <f t="shared" si="14"/>
        <v>0.37356464144298934</v>
      </c>
    </row>
    <row r="844" spans="1:11">
      <c r="A844" t="s">
        <v>2039</v>
      </c>
      <c r="B844">
        <f>Clothing!B52</f>
        <v>2015</v>
      </c>
      <c r="C844" t="str">
        <f>Clothing!C52</f>
        <v>PUR</v>
      </c>
      <c r="D844">
        <f>Clothing!K52</f>
        <v>3.1354022685596021</v>
      </c>
      <c r="E844" t="s">
        <v>2040</v>
      </c>
      <c r="F844">
        <f>Clothing!O52</f>
        <v>1</v>
      </c>
      <c r="G844">
        <f>Clothing!P52</f>
        <v>1</v>
      </c>
      <c r="H844">
        <f>Clothing!Q52</f>
        <v>2</v>
      </c>
      <c r="I844">
        <f>Clothing!R52</f>
        <v>2</v>
      </c>
      <c r="J844">
        <f>Clothing!S52</f>
        <v>2</v>
      </c>
      <c r="K844">
        <f t="shared" si="14"/>
        <v>0.37356464144298934</v>
      </c>
    </row>
    <row r="845" spans="1:11">
      <c r="A845" t="s">
        <v>2039</v>
      </c>
      <c r="B845">
        <f>Clothing!B53</f>
        <v>2015</v>
      </c>
      <c r="C845" t="str">
        <f>Clothing!C53</f>
        <v>PVC</v>
      </c>
      <c r="D845">
        <f>Clothing!K53</f>
        <v>1.9160210369679642</v>
      </c>
      <c r="E845" t="s">
        <v>2040</v>
      </c>
      <c r="F845">
        <f>Clothing!O53</f>
        <v>1</v>
      </c>
      <c r="G845">
        <f>Clothing!P53</f>
        <v>1</v>
      </c>
      <c r="H845">
        <f>Clothing!Q53</f>
        <v>2</v>
      </c>
      <c r="I845">
        <f>Clothing!R53</f>
        <v>2</v>
      </c>
      <c r="J845">
        <f>Clothing!S53</f>
        <v>2</v>
      </c>
      <c r="K845">
        <f t="shared" si="14"/>
        <v>0.37356464144298934</v>
      </c>
    </row>
    <row r="846" spans="1:11">
      <c r="A846" t="s">
        <v>2039</v>
      </c>
      <c r="B846">
        <f>Clothing!B54</f>
        <v>2015</v>
      </c>
      <c r="C846" t="str">
        <f>Clothing!C54</f>
        <v>RUBBER</v>
      </c>
      <c r="D846">
        <f>Clothing!K54</f>
        <v>2.5472507870562899</v>
      </c>
      <c r="E846" t="s">
        <v>2040</v>
      </c>
      <c r="F846">
        <f>Clothing!O54</f>
        <v>1</v>
      </c>
      <c r="G846">
        <f>Clothing!P54</f>
        <v>1</v>
      </c>
      <c r="H846">
        <f>Clothing!Q54</f>
        <v>2</v>
      </c>
      <c r="I846">
        <f>Clothing!R54</f>
        <v>2</v>
      </c>
      <c r="J846">
        <f>Clothing!S54</f>
        <v>2</v>
      </c>
      <c r="K846">
        <f t="shared" si="14"/>
        <v>0.37356464144298934</v>
      </c>
    </row>
    <row r="847" spans="1:11">
      <c r="A847" t="s">
        <v>2039</v>
      </c>
      <c r="B847">
        <f>Clothing!B55</f>
        <v>2016</v>
      </c>
      <c r="C847" t="str">
        <f>Clothing!C55</f>
        <v>Acryl</v>
      </c>
      <c r="D847">
        <f>Clothing!K55</f>
        <v>1.6982389783491778</v>
      </c>
      <c r="E847" t="s">
        <v>2040</v>
      </c>
      <c r="F847">
        <f>Clothing!O55</f>
        <v>1</v>
      </c>
      <c r="G847">
        <f>Clothing!P55</f>
        <v>1</v>
      </c>
      <c r="H847">
        <f>Clothing!Q55</f>
        <v>2</v>
      </c>
      <c r="I847">
        <f>Clothing!R55</f>
        <v>2</v>
      </c>
      <c r="J847">
        <f>Clothing!S55</f>
        <v>2</v>
      </c>
      <c r="K847">
        <f t="shared" si="14"/>
        <v>0.37356464144298934</v>
      </c>
    </row>
    <row r="848" spans="1:11">
      <c r="A848" t="s">
        <v>2039</v>
      </c>
      <c r="B848">
        <f>Clothing!B56</f>
        <v>2016</v>
      </c>
      <c r="C848" t="str">
        <f>Clothing!C56</f>
        <v>OTHER</v>
      </c>
      <c r="D848">
        <f>Clothing!K56</f>
        <v>2.5434254101607494</v>
      </c>
      <c r="E848" t="s">
        <v>2040</v>
      </c>
      <c r="F848">
        <f>Clothing!O56</f>
        <v>1</v>
      </c>
      <c r="G848">
        <f>Clothing!P56</f>
        <v>1</v>
      </c>
      <c r="H848">
        <f>Clothing!Q56</f>
        <v>2</v>
      </c>
      <c r="I848">
        <f>Clothing!R56</f>
        <v>2</v>
      </c>
      <c r="J848">
        <f>Clothing!S56</f>
        <v>2</v>
      </c>
      <c r="K848">
        <f t="shared" si="14"/>
        <v>0.37356464144298934</v>
      </c>
    </row>
    <row r="849" spans="1:11">
      <c r="A849" t="s">
        <v>2039</v>
      </c>
      <c r="B849">
        <f>Clothing!B57</f>
        <v>2016</v>
      </c>
      <c r="C849" t="str">
        <f>Clothing!C57</f>
        <v>PA</v>
      </c>
      <c r="D849">
        <f>Clothing!K57</f>
        <v>5.0900620553904794</v>
      </c>
      <c r="E849" t="s">
        <v>2040</v>
      </c>
      <c r="F849">
        <f>Clothing!O57</f>
        <v>1</v>
      </c>
      <c r="G849">
        <f>Clothing!P57</f>
        <v>1</v>
      </c>
      <c r="H849">
        <f>Clothing!Q57</f>
        <v>2</v>
      </c>
      <c r="I849">
        <f>Clothing!R57</f>
        <v>2</v>
      </c>
      <c r="J849">
        <f>Clothing!S57</f>
        <v>2</v>
      </c>
      <c r="K849">
        <f t="shared" si="14"/>
        <v>0.37356464144298934</v>
      </c>
    </row>
    <row r="850" spans="1:11">
      <c r="A850" t="s">
        <v>2039</v>
      </c>
      <c r="B850">
        <f>Clothing!B58</f>
        <v>2016</v>
      </c>
      <c r="C850" t="str">
        <f>Clothing!C58</f>
        <v>PET</v>
      </c>
      <c r="D850">
        <f>Clothing!K58</f>
        <v>17.876941703227477</v>
      </c>
      <c r="E850" t="s">
        <v>2040</v>
      </c>
      <c r="F850">
        <f>Clothing!O58</f>
        <v>1</v>
      </c>
      <c r="G850">
        <f>Clothing!P58</f>
        <v>1</v>
      </c>
      <c r="H850">
        <f>Clothing!Q58</f>
        <v>2</v>
      </c>
      <c r="I850">
        <f>Clothing!R58</f>
        <v>2</v>
      </c>
      <c r="J850">
        <f>Clothing!S58</f>
        <v>2</v>
      </c>
      <c r="K850">
        <f t="shared" si="14"/>
        <v>0.37356464144298934</v>
      </c>
    </row>
    <row r="851" spans="1:11">
      <c r="A851" t="s">
        <v>2039</v>
      </c>
      <c r="B851">
        <f>Clothing!B59</f>
        <v>2016</v>
      </c>
      <c r="C851" t="str">
        <f>Clothing!C59</f>
        <v>PUR</v>
      </c>
      <c r="D851">
        <f>Clothing!K59</f>
        <v>3.2091331766122209</v>
      </c>
      <c r="E851" t="s">
        <v>2040</v>
      </c>
      <c r="F851">
        <f>Clothing!O59</f>
        <v>1</v>
      </c>
      <c r="G851">
        <f>Clothing!P59</f>
        <v>1</v>
      </c>
      <c r="H851">
        <f>Clothing!Q59</f>
        <v>2</v>
      </c>
      <c r="I851">
        <f>Clothing!R59</f>
        <v>2</v>
      </c>
      <c r="J851">
        <f>Clothing!S59</f>
        <v>2</v>
      </c>
      <c r="K851">
        <f t="shared" si="14"/>
        <v>0.37356464144298934</v>
      </c>
    </row>
    <row r="852" spans="1:11">
      <c r="A852" t="s">
        <v>2039</v>
      </c>
      <c r="B852">
        <f>Clothing!B60</f>
        <v>2016</v>
      </c>
      <c r="C852" t="str">
        <f>Clothing!C60</f>
        <v>PVC</v>
      </c>
      <c r="D852">
        <f>Clothing!K60</f>
        <v>1.9418985690748349</v>
      </c>
      <c r="E852" t="s">
        <v>2040</v>
      </c>
      <c r="F852">
        <f>Clothing!O60</f>
        <v>1</v>
      </c>
      <c r="G852">
        <f>Clothing!P60</f>
        <v>1</v>
      </c>
      <c r="H852">
        <f>Clothing!Q60</f>
        <v>2</v>
      </c>
      <c r="I852">
        <f>Clothing!R60</f>
        <v>2</v>
      </c>
      <c r="J852">
        <f>Clothing!S60</f>
        <v>2</v>
      </c>
      <c r="K852">
        <f t="shared" si="14"/>
        <v>0.37356464144298934</v>
      </c>
    </row>
    <row r="853" spans="1:11">
      <c r="A853" t="s">
        <v>2039</v>
      </c>
      <c r="B853">
        <f>Clothing!B61</f>
        <v>2016</v>
      </c>
      <c r="C853" t="str">
        <f>Clothing!C61</f>
        <v>RUBBER</v>
      </c>
      <c r="D853">
        <f>Clothing!K61</f>
        <v>2.3864713261493793</v>
      </c>
      <c r="E853" t="s">
        <v>2040</v>
      </c>
      <c r="F853">
        <f>Clothing!O61</f>
        <v>1</v>
      </c>
      <c r="G853">
        <f>Clothing!P61</f>
        <v>1</v>
      </c>
      <c r="H853">
        <f>Clothing!Q61</f>
        <v>2</v>
      </c>
      <c r="I853">
        <f>Clothing!R61</f>
        <v>2</v>
      </c>
      <c r="J853">
        <f>Clothing!S61</f>
        <v>2</v>
      </c>
      <c r="K853">
        <f t="shared" si="14"/>
        <v>0.37356464144298934</v>
      </c>
    </row>
    <row r="854" spans="1:11">
      <c r="A854" t="s">
        <v>2039</v>
      </c>
      <c r="B854">
        <f>Clothing!B62</f>
        <v>2017</v>
      </c>
      <c r="C854" t="str">
        <f>Clothing!C62</f>
        <v>Acryl</v>
      </c>
      <c r="D854">
        <f>Clothing!K62</f>
        <v>1.3476085475795865</v>
      </c>
      <c r="E854" t="s">
        <v>2040</v>
      </c>
      <c r="F854">
        <f>Clothing!O62</f>
        <v>1</v>
      </c>
      <c r="G854">
        <f>Clothing!P62</f>
        <v>1</v>
      </c>
      <c r="H854">
        <f>Clothing!Q62</f>
        <v>2</v>
      </c>
      <c r="I854">
        <f>Clothing!R62</f>
        <v>2</v>
      </c>
      <c r="J854">
        <f>Clothing!S62</f>
        <v>2</v>
      </c>
      <c r="K854">
        <f t="shared" si="14"/>
        <v>0.37356464144298934</v>
      </c>
    </row>
    <row r="855" spans="1:11">
      <c r="A855" t="s">
        <v>2039</v>
      </c>
      <c r="B855">
        <f>Clothing!B63</f>
        <v>2017</v>
      </c>
      <c r="C855" t="str">
        <f>Clothing!C63</f>
        <v>OTHER</v>
      </c>
      <c r="D855">
        <f>Clothing!K63</f>
        <v>2.1250679919048392</v>
      </c>
      <c r="E855" t="s">
        <v>2040</v>
      </c>
      <c r="F855">
        <f>Clothing!O63</f>
        <v>1</v>
      </c>
      <c r="G855">
        <f>Clothing!P63</f>
        <v>1</v>
      </c>
      <c r="H855">
        <f>Clothing!Q63</f>
        <v>2</v>
      </c>
      <c r="I855">
        <f>Clothing!R63</f>
        <v>2</v>
      </c>
      <c r="J855">
        <f>Clothing!S63</f>
        <v>2</v>
      </c>
      <c r="K855">
        <f t="shared" si="14"/>
        <v>0.37356464144298934</v>
      </c>
    </row>
    <row r="856" spans="1:11">
      <c r="A856" t="s">
        <v>2039</v>
      </c>
      <c r="B856">
        <f>Clothing!B64</f>
        <v>2017</v>
      </c>
      <c r="C856" t="str">
        <f>Clothing!C64</f>
        <v>PA</v>
      </c>
      <c r="D856">
        <f>Clothing!K64</f>
        <v>4.1809981199590309</v>
      </c>
      <c r="E856" t="s">
        <v>2040</v>
      </c>
      <c r="F856">
        <f>Clothing!O64</f>
        <v>1</v>
      </c>
      <c r="G856">
        <f>Clothing!P64</f>
        <v>1</v>
      </c>
      <c r="H856">
        <f>Clothing!Q64</f>
        <v>2</v>
      </c>
      <c r="I856">
        <f>Clothing!R64</f>
        <v>2</v>
      </c>
      <c r="J856">
        <f>Clothing!S64</f>
        <v>2</v>
      </c>
      <c r="K856">
        <f t="shared" si="14"/>
        <v>0.37356464144298934</v>
      </c>
    </row>
    <row r="857" spans="1:11">
      <c r="A857" t="s">
        <v>2039</v>
      </c>
      <c r="B857">
        <f>Clothing!B65</f>
        <v>2017</v>
      </c>
      <c r="C857" t="str">
        <f>Clothing!C65</f>
        <v>PET</v>
      </c>
      <c r="D857">
        <f>Clothing!K65</f>
        <v>14.346766087931323</v>
      </c>
      <c r="E857" t="s">
        <v>2040</v>
      </c>
      <c r="F857">
        <f>Clothing!O65</f>
        <v>1</v>
      </c>
      <c r="G857">
        <f>Clothing!P65</f>
        <v>1</v>
      </c>
      <c r="H857">
        <f>Clothing!Q65</f>
        <v>2</v>
      </c>
      <c r="I857">
        <f>Clothing!R65</f>
        <v>2</v>
      </c>
      <c r="J857">
        <f>Clothing!S65</f>
        <v>2</v>
      </c>
      <c r="K857">
        <f t="shared" si="14"/>
        <v>0.37356464144298934</v>
      </c>
    </row>
    <row r="858" spans="1:11">
      <c r="A858" t="s">
        <v>2039</v>
      </c>
      <c r="B858">
        <f>Clothing!B66</f>
        <v>2017</v>
      </c>
      <c r="C858" t="str">
        <f>Clothing!C66</f>
        <v>PUR</v>
      </c>
      <c r="D858">
        <f>Clothing!K66</f>
        <v>2.6934109600628076</v>
      </c>
      <c r="E858" t="s">
        <v>2040</v>
      </c>
      <c r="F858">
        <f>Clothing!O66</f>
        <v>1</v>
      </c>
      <c r="G858">
        <f>Clothing!P66</f>
        <v>1</v>
      </c>
      <c r="H858">
        <f>Clothing!Q66</f>
        <v>2</v>
      </c>
      <c r="I858">
        <f>Clothing!R66</f>
        <v>2</v>
      </c>
      <c r="J858">
        <f>Clothing!S66</f>
        <v>2</v>
      </c>
      <c r="K858">
        <f t="shared" si="14"/>
        <v>0.37356464144298934</v>
      </c>
    </row>
    <row r="859" spans="1:11">
      <c r="A859" t="s">
        <v>2039</v>
      </c>
      <c r="B859">
        <f>Clothing!B67</f>
        <v>2017</v>
      </c>
      <c r="C859" t="str">
        <f>Clothing!C67</f>
        <v>PVC</v>
      </c>
      <c r="D859">
        <f>Clothing!K67</f>
        <v>1.6372265489074882</v>
      </c>
      <c r="E859" t="s">
        <v>2040</v>
      </c>
      <c r="F859">
        <f>Clothing!O67</f>
        <v>1</v>
      </c>
      <c r="G859">
        <f>Clothing!P67</f>
        <v>1</v>
      </c>
      <c r="H859">
        <f>Clothing!Q67</f>
        <v>2</v>
      </c>
      <c r="I859">
        <f>Clothing!R67</f>
        <v>2</v>
      </c>
      <c r="J859">
        <f>Clothing!S67</f>
        <v>2</v>
      </c>
      <c r="K859">
        <f t="shared" si="14"/>
        <v>0.37356464144298934</v>
      </c>
    </row>
    <row r="860" spans="1:11">
      <c r="A860" t="s">
        <v>2039</v>
      </c>
      <c r="B860">
        <f>Clothing!B68</f>
        <v>2017</v>
      </c>
      <c r="C860" t="str">
        <f>Clothing!C68</f>
        <v>RUBBER</v>
      </c>
      <c r="D860">
        <f>Clothing!K68</f>
        <v>2.0738727761167604</v>
      </c>
      <c r="E860" t="s">
        <v>2040</v>
      </c>
      <c r="F860">
        <f>Clothing!O68</f>
        <v>1</v>
      </c>
      <c r="G860">
        <f>Clothing!P68</f>
        <v>1</v>
      </c>
      <c r="H860">
        <f>Clothing!Q68</f>
        <v>2</v>
      </c>
      <c r="I860">
        <f>Clothing!R68</f>
        <v>2</v>
      </c>
      <c r="J860">
        <f>Clothing!S68</f>
        <v>2</v>
      </c>
      <c r="K860">
        <f t="shared" si="14"/>
        <v>0.37356464144298934</v>
      </c>
    </row>
    <row r="861" spans="1:11">
      <c r="A861" t="s">
        <v>2039</v>
      </c>
      <c r="B861">
        <f>Clothing!B69</f>
        <v>2018</v>
      </c>
      <c r="C861" t="str">
        <f>Clothing!C69</f>
        <v>Acryl</v>
      </c>
      <c r="D861">
        <f>Clothing!K69</f>
        <v>1.5107243312004104</v>
      </c>
      <c r="E861" t="s">
        <v>2040</v>
      </c>
      <c r="F861">
        <f>Clothing!O69</f>
        <v>1</v>
      </c>
      <c r="G861">
        <f>Clothing!P69</f>
        <v>1</v>
      </c>
      <c r="H861">
        <f>Clothing!Q69</f>
        <v>2</v>
      </c>
      <c r="I861">
        <f>Clothing!R69</f>
        <v>2</v>
      </c>
      <c r="J861">
        <f>Clothing!S69</f>
        <v>2</v>
      </c>
      <c r="K861">
        <f t="shared" si="14"/>
        <v>0.37356464144298934</v>
      </c>
    </row>
    <row r="862" spans="1:11">
      <c r="A862" t="s">
        <v>2039</v>
      </c>
      <c r="B862">
        <f>Clothing!B70</f>
        <v>2018</v>
      </c>
      <c r="C862" t="str">
        <f>Clothing!C70</f>
        <v>OTHER</v>
      </c>
      <c r="D862">
        <f>Clothing!K70</f>
        <v>2.8087018300220592</v>
      </c>
      <c r="E862" t="s">
        <v>2040</v>
      </c>
      <c r="F862">
        <f>Clothing!O70</f>
        <v>1</v>
      </c>
      <c r="G862">
        <f>Clothing!P70</f>
        <v>1</v>
      </c>
      <c r="H862">
        <f>Clothing!Q70</f>
        <v>2</v>
      </c>
      <c r="I862">
        <f>Clothing!R70</f>
        <v>2</v>
      </c>
      <c r="J862">
        <f>Clothing!S70</f>
        <v>2</v>
      </c>
      <c r="K862">
        <f t="shared" si="14"/>
        <v>0.37356464144298934</v>
      </c>
    </row>
    <row r="863" spans="1:11">
      <c r="A863" t="s">
        <v>2039</v>
      </c>
      <c r="B863">
        <f>Clothing!B71</f>
        <v>2018</v>
      </c>
      <c r="C863" t="str">
        <f>Clothing!C71</f>
        <v>PA</v>
      </c>
      <c r="D863">
        <f>Clothing!K71</f>
        <v>4.842780655582084</v>
      </c>
      <c r="E863" t="s">
        <v>2040</v>
      </c>
      <c r="F863">
        <f>Clothing!O71</f>
        <v>1</v>
      </c>
      <c r="G863">
        <f>Clothing!P71</f>
        <v>1</v>
      </c>
      <c r="H863">
        <f>Clothing!Q71</f>
        <v>2</v>
      </c>
      <c r="I863">
        <f>Clothing!R71</f>
        <v>2</v>
      </c>
      <c r="J863">
        <f>Clothing!S71</f>
        <v>2</v>
      </c>
      <c r="K863">
        <f t="shared" si="14"/>
        <v>0.37356464144298934</v>
      </c>
    </row>
    <row r="864" spans="1:11">
      <c r="A864" t="s">
        <v>2039</v>
      </c>
      <c r="B864">
        <f>Clothing!B72</f>
        <v>2018</v>
      </c>
      <c r="C864" t="str">
        <f>Clothing!C72</f>
        <v>PET</v>
      </c>
      <c r="D864">
        <f>Clothing!K72</f>
        <v>17.777807853284898</v>
      </c>
      <c r="E864" t="s">
        <v>2040</v>
      </c>
      <c r="F864">
        <f>Clothing!O72</f>
        <v>1</v>
      </c>
      <c r="G864">
        <f>Clothing!P72</f>
        <v>1</v>
      </c>
      <c r="H864">
        <f>Clothing!Q72</f>
        <v>2</v>
      </c>
      <c r="I864">
        <f>Clothing!R72</f>
        <v>2</v>
      </c>
      <c r="J864">
        <f>Clothing!S72</f>
        <v>2</v>
      </c>
      <c r="K864">
        <f t="shared" si="14"/>
        <v>0.37356464144298934</v>
      </c>
    </row>
    <row r="865" spans="1:11">
      <c r="A865" t="s">
        <v>2039</v>
      </c>
      <c r="B865">
        <f>Clothing!B73</f>
        <v>2018</v>
      </c>
      <c r="C865" t="str">
        <f>Clothing!C73</f>
        <v>PUR</v>
      </c>
      <c r="D865">
        <f>Clothing!K73</f>
        <v>2.8042744016877612</v>
      </c>
      <c r="E865" t="s">
        <v>2040</v>
      </c>
      <c r="F865">
        <f>Clothing!O73</f>
        <v>1</v>
      </c>
      <c r="G865">
        <f>Clothing!P73</f>
        <v>1</v>
      </c>
      <c r="H865">
        <f>Clothing!Q73</f>
        <v>2</v>
      </c>
      <c r="I865">
        <f>Clothing!R73</f>
        <v>2</v>
      </c>
      <c r="J865">
        <f>Clothing!S73</f>
        <v>2</v>
      </c>
      <c r="K865">
        <f t="shared" si="14"/>
        <v>0.37356464144298934</v>
      </c>
    </row>
    <row r="866" spans="1:11">
      <c r="A866" t="s">
        <v>2039</v>
      </c>
      <c r="B866">
        <f>Clothing!B74</f>
        <v>2018</v>
      </c>
      <c r="C866" t="str">
        <f>Clothing!C74</f>
        <v>PVC</v>
      </c>
      <c r="D866">
        <f>Clothing!K74</f>
        <v>1.7252653716248978</v>
      </c>
      <c r="E866" t="s">
        <v>2040</v>
      </c>
      <c r="F866">
        <f>Clothing!O74</f>
        <v>1</v>
      </c>
      <c r="G866">
        <f>Clothing!P74</f>
        <v>1</v>
      </c>
      <c r="H866">
        <f>Clothing!Q74</f>
        <v>2</v>
      </c>
      <c r="I866">
        <f>Clothing!R74</f>
        <v>2</v>
      </c>
      <c r="J866">
        <f>Clothing!S74</f>
        <v>2</v>
      </c>
      <c r="K866">
        <f t="shared" si="14"/>
        <v>0.37356464144298934</v>
      </c>
    </row>
    <row r="867" spans="1:11">
      <c r="A867" t="s">
        <v>2039</v>
      </c>
      <c r="B867">
        <f>Clothing!B75</f>
        <v>2018</v>
      </c>
      <c r="C867" t="str">
        <f>Clothing!C75</f>
        <v>RUBBER</v>
      </c>
      <c r="D867">
        <f>Clothing!K75</f>
        <v>2.5371011305378288</v>
      </c>
      <c r="E867" t="s">
        <v>2040</v>
      </c>
      <c r="F867">
        <f>Clothing!O75</f>
        <v>1</v>
      </c>
      <c r="G867">
        <f>Clothing!P75</f>
        <v>1</v>
      </c>
      <c r="H867">
        <f>Clothing!Q75</f>
        <v>2</v>
      </c>
      <c r="I867">
        <f>Clothing!R75</f>
        <v>2</v>
      </c>
      <c r="J867">
        <f>Clothing!S75</f>
        <v>2</v>
      </c>
      <c r="K867">
        <f t="shared" si="14"/>
        <v>0.37356464144298934</v>
      </c>
    </row>
    <row r="868" spans="1:11">
      <c r="A868" t="s">
        <v>2039</v>
      </c>
      <c r="B868">
        <f>Clothing!B76</f>
        <v>2019</v>
      </c>
      <c r="C868" t="str">
        <f>Clothing!C76</f>
        <v>Acryl</v>
      </c>
      <c r="D868">
        <f>Clothing!K76</f>
        <v>1.3447711415589885</v>
      </c>
      <c r="E868" t="s">
        <v>2040</v>
      </c>
      <c r="F868">
        <f>Clothing!O76</f>
        <v>1</v>
      </c>
      <c r="G868">
        <f>Clothing!P76</f>
        <v>1</v>
      </c>
      <c r="H868">
        <f>Clothing!Q76</f>
        <v>2</v>
      </c>
      <c r="I868">
        <f>Clothing!R76</f>
        <v>2</v>
      </c>
      <c r="J868">
        <f>Clothing!S76</f>
        <v>2</v>
      </c>
      <c r="K868">
        <f t="shared" si="14"/>
        <v>0.37356464144298934</v>
      </c>
    </row>
    <row r="869" spans="1:11">
      <c r="A869" t="s">
        <v>2039</v>
      </c>
      <c r="B869">
        <f>Clothing!B77</f>
        <v>2019</v>
      </c>
      <c r="C869" t="str">
        <f>Clothing!C77</f>
        <v>OTHER</v>
      </c>
      <c r="D869">
        <f>Clothing!K77</f>
        <v>2.315580122117304</v>
      </c>
      <c r="E869" t="s">
        <v>2040</v>
      </c>
      <c r="F869">
        <f>Clothing!O77</f>
        <v>1</v>
      </c>
      <c r="G869">
        <f>Clothing!P77</f>
        <v>1</v>
      </c>
      <c r="H869">
        <f>Clothing!Q77</f>
        <v>2</v>
      </c>
      <c r="I869">
        <f>Clothing!R77</f>
        <v>2</v>
      </c>
      <c r="J869">
        <f>Clothing!S77</f>
        <v>2</v>
      </c>
      <c r="K869">
        <f t="shared" si="14"/>
        <v>0.37356464144298934</v>
      </c>
    </row>
    <row r="870" spans="1:11">
      <c r="A870" t="s">
        <v>2039</v>
      </c>
      <c r="B870">
        <f>Clothing!B78</f>
        <v>2019</v>
      </c>
      <c r="C870" t="str">
        <f>Clothing!C78</f>
        <v>PA</v>
      </c>
      <c r="D870">
        <f>Clothing!K78</f>
        <v>4.017638981562472</v>
      </c>
      <c r="E870" t="s">
        <v>2040</v>
      </c>
      <c r="F870">
        <f>Clothing!O78</f>
        <v>1</v>
      </c>
      <c r="G870">
        <f>Clothing!P78</f>
        <v>1</v>
      </c>
      <c r="H870">
        <f>Clothing!Q78</f>
        <v>2</v>
      </c>
      <c r="I870">
        <f>Clothing!R78</f>
        <v>2</v>
      </c>
      <c r="J870">
        <f>Clothing!S78</f>
        <v>2</v>
      </c>
      <c r="K870">
        <f t="shared" si="14"/>
        <v>0.37356464144298934</v>
      </c>
    </row>
    <row r="871" spans="1:11">
      <c r="A871" t="s">
        <v>2039</v>
      </c>
      <c r="B871">
        <f>Clothing!B79</f>
        <v>2019</v>
      </c>
      <c r="C871" t="str">
        <f>Clothing!C79</f>
        <v>PET</v>
      </c>
      <c r="D871">
        <f>Clothing!K79</f>
        <v>14.305345755883033</v>
      </c>
      <c r="E871" t="s">
        <v>2040</v>
      </c>
      <c r="F871">
        <f>Clothing!O79</f>
        <v>1</v>
      </c>
      <c r="G871">
        <f>Clothing!P79</f>
        <v>1</v>
      </c>
      <c r="H871">
        <f>Clothing!Q79</f>
        <v>2</v>
      </c>
      <c r="I871">
        <f>Clothing!R79</f>
        <v>2</v>
      </c>
      <c r="J871">
        <f>Clothing!S79</f>
        <v>2</v>
      </c>
      <c r="K871">
        <f t="shared" si="14"/>
        <v>0.37356464144298934</v>
      </c>
    </row>
    <row r="872" spans="1:11">
      <c r="A872" t="s">
        <v>2039</v>
      </c>
      <c r="B872">
        <f>Clothing!B80</f>
        <v>2019</v>
      </c>
      <c r="C872" t="str">
        <f>Clothing!C80</f>
        <v>PUR</v>
      </c>
      <c r="D872">
        <f>Clothing!K80</f>
        <v>2.5069411174429326</v>
      </c>
      <c r="E872" t="s">
        <v>2040</v>
      </c>
      <c r="F872">
        <f>Clothing!O80</f>
        <v>1</v>
      </c>
      <c r="G872">
        <f>Clothing!P80</f>
        <v>1</v>
      </c>
      <c r="H872">
        <f>Clothing!Q80</f>
        <v>2</v>
      </c>
      <c r="I872">
        <f>Clothing!R80</f>
        <v>2</v>
      </c>
      <c r="J872">
        <f>Clothing!S80</f>
        <v>2</v>
      </c>
      <c r="K872">
        <f t="shared" si="14"/>
        <v>0.37356464144298934</v>
      </c>
    </row>
    <row r="873" spans="1:11">
      <c r="A873" t="s">
        <v>2039</v>
      </c>
      <c r="B873">
        <f>Clothing!B81</f>
        <v>2019</v>
      </c>
      <c r="C873" t="str">
        <f>Clothing!C81</f>
        <v>PVC</v>
      </c>
      <c r="D873">
        <f>Clothing!K81</f>
        <v>1.5229676648828026</v>
      </c>
      <c r="E873" t="s">
        <v>2040</v>
      </c>
      <c r="F873">
        <f>Clothing!O81</f>
        <v>1</v>
      </c>
      <c r="G873">
        <f>Clothing!P81</f>
        <v>1</v>
      </c>
      <c r="H873">
        <f>Clothing!Q81</f>
        <v>2</v>
      </c>
      <c r="I873">
        <f>Clothing!R81</f>
        <v>2</v>
      </c>
      <c r="J873">
        <f>Clothing!S81</f>
        <v>2</v>
      </c>
      <c r="K873">
        <f t="shared" si="14"/>
        <v>0.37356464144298934</v>
      </c>
    </row>
    <row r="874" spans="1:11">
      <c r="A874" t="s">
        <v>2039</v>
      </c>
      <c r="B874">
        <f>Clothing!B82</f>
        <v>2019</v>
      </c>
      <c r="C874" t="str">
        <f>Clothing!C82</f>
        <v>RUBBER</v>
      </c>
      <c r="D874">
        <f>Clothing!K82</f>
        <v>1.9873782234100279</v>
      </c>
      <c r="E874" t="s">
        <v>2040</v>
      </c>
      <c r="F874">
        <f>Clothing!O82</f>
        <v>1</v>
      </c>
      <c r="G874">
        <f>Clothing!P82</f>
        <v>1</v>
      </c>
      <c r="H874">
        <f>Clothing!Q82</f>
        <v>2</v>
      </c>
      <c r="I874">
        <f>Clothing!R82</f>
        <v>2</v>
      </c>
      <c r="J874">
        <f>Clothing!S82</f>
        <v>2</v>
      </c>
      <c r="K874">
        <f t="shared" si="14"/>
        <v>0.37356464144298934</v>
      </c>
    </row>
    <row r="875" spans="1:11">
      <c r="A875" t="s">
        <v>2039</v>
      </c>
      <c r="B875">
        <f>Clothing!B83</f>
        <v>2020</v>
      </c>
      <c r="C875" t="str">
        <f>Clothing!C83</f>
        <v>Acryl</v>
      </c>
      <c r="D875">
        <f>Clothing!K83</f>
        <v>0.57858596025803455</v>
      </c>
      <c r="E875" t="s">
        <v>2040</v>
      </c>
      <c r="F875">
        <f>Clothing!O83</f>
        <v>1</v>
      </c>
      <c r="G875">
        <f>Clothing!P83</f>
        <v>1</v>
      </c>
      <c r="H875">
        <f>Clothing!Q83</f>
        <v>2</v>
      </c>
      <c r="I875">
        <f>Clothing!R83</f>
        <v>2</v>
      </c>
      <c r="J875">
        <f>Clothing!S83</f>
        <v>2</v>
      </c>
      <c r="K875">
        <f t="shared" si="14"/>
        <v>0.37356464144298934</v>
      </c>
    </row>
    <row r="876" spans="1:11">
      <c r="A876" t="s">
        <v>2039</v>
      </c>
      <c r="B876">
        <f>Clothing!B84</f>
        <v>2020</v>
      </c>
      <c r="C876" t="str">
        <f>Clothing!C84</f>
        <v>OTHER</v>
      </c>
      <c r="D876">
        <f>Clothing!K84</f>
        <v>0.90056656978790939</v>
      </c>
      <c r="E876" t="s">
        <v>2040</v>
      </c>
      <c r="F876">
        <f>Clothing!O84</f>
        <v>1</v>
      </c>
      <c r="G876">
        <f>Clothing!P84</f>
        <v>1</v>
      </c>
      <c r="H876">
        <f>Clothing!Q84</f>
        <v>2</v>
      </c>
      <c r="I876">
        <f>Clothing!R84</f>
        <v>2</v>
      </c>
      <c r="J876">
        <f>Clothing!S84</f>
        <v>2</v>
      </c>
      <c r="K876">
        <f t="shared" si="14"/>
        <v>0.37356464144298934</v>
      </c>
    </row>
    <row r="877" spans="1:11">
      <c r="A877" t="s">
        <v>2039</v>
      </c>
      <c r="B877">
        <f>Clothing!B85</f>
        <v>2020</v>
      </c>
      <c r="C877" t="str">
        <f>Clothing!C85</f>
        <v>PA</v>
      </c>
      <c r="D877">
        <f>Clothing!K85</f>
        <v>1.6084299939221018</v>
      </c>
      <c r="E877" t="s">
        <v>2040</v>
      </c>
      <c r="F877">
        <f>Clothing!O85</f>
        <v>1</v>
      </c>
      <c r="G877">
        <f>Clothing!P85</f>
        <v>1</v>
      </c>
      <c r="H877">
        <f>Clothing!Q85</f>
        <v>2</v>
      </c>
      <c r="I877">
        <f>Clothing!R85</f>
        <v>2</v>
      </c>
      <c r="J877">
        <f>Clothing!S85</f>
        <v>2</v>
      </c>
      <c r="K877">
        <f t="shared" si="14"/>
        <v>0.37356464144298934</v>
      </c>
    </row>
    <row r="878" spans="1:11">
      <c r="A878" t="s">
        <v>2039</v>
      </c>
      <c r="B878">
        <f>Clothing!B86</f>
        <v>2020</v>
      </c>
      <c r="C878" t="str">
        <f>Clothing!C86</f>
        <v>PET</v>
      </c>
      <c r="D878">
        <f>Clothing!K86</f>
        <v>5.2448376028356725</v>
      </c>
      <c r="E878" t="s">
        <v>2040</v>
      </c>
      <c r="F878">
        <f>Clothing!O86</f>
        <v>1</v>
      </c>
      <c r="G878">
        <f>Clothing!P86</f>
        <v>1</v>
      </c>
      <c r="H878">
        <f>Clothing!Q86</f>
        <v>2</v>
      </c>
      <c r="I878">
        <f>Clothing!R86</f>
        <v>2</v>
      </c>
      <c r="J878">
        <f>Clothing!S86</f>
        <v>2</v>
      </c>
      <c r="K878">
        <f t="shared" si="14"/>
        <v>0.37356464144298934</v>
      </c>
    </row>
    <row r="879" spans="1:11">
      <c r="A879" t="s">
        <v>2039</v>
      </c>
      <c r="B879">
        <f>Clothing!B87</f>
        <v>2020</v>
      </c>
      <c r="C879" t="str">
        <f>Clothing!C87</f>
        <v>PUR</v>
      </c>
      <c r="D879">
        <f>Clothing!K87</f>
        <v>1.7182711118673464</v>
      </c>
      <c r="E879" t="s">
        <v>2040</v>
      </c>
      <c r="F879">
        <f>Clothing!O87</f>
        <v>1</v>
      </c>
      <c r="G879">
        <f>Clothing!P87</f>
        <v>1</v>
      </c>
      <c r="H879">
        <f>Clothing!Q87</f>
        <v>2</v>
      </c>
      <c r="I879">
        <f>Clothing!R87</f>
        <v>2</v>
      </c>
      <c r="J879">
        <f>Clothing!S87</f>
        <v>2</v>
      </c>
      <c r="K879">
        <f t="shared" si="14"/>
        <v>0.37356464144298934</v>
      </c>
    </row>
    <row r="880" spans="1:11">
      <c r="A880" t="s">
        <v>2039</v>
      </c>
      <c r="B880">
        <f>Clothing!B88</f>
        <v>2020</v>
      </c>
      <c r="C880" t="str">
        <f>Clothing!C88</f>
        <v>PVC</v>
      </c>
      <c r="D880">
        <f>Clothing!K88</f>
        <v>1.0208136866232704</v>
      </c>
      <c r="E880" t="s">
        <v>2040</v>
      </c>
      <c r="F880">
        <f>Clothing!O88</f>
        <v>1</v>
      </c>
      <c r="G880">
        <f>Clothing!P88</f>
        <v>1</v>
      </c>
      <c r="H880">
        <f>Clothing!Q88</f>
        <v>2</v>
      </c>
      <c r="I880">
        <f>Clothing!R88</f>
        <v>2</v>
      </c>
      <c r="J880">
        <f>Clothing!S88</f>
        <v>2</v>
      </c>
      <c r="K880">
        <f t="shared" si="14"/>
        <v>0.37356464144298934</v>
      </c>
    </row>
    <row r="881" spans="1:11">
      <c r="A881" t="s">
        <v>2039</v>
      </c>
      <c r="B881">
        <f>Clothing!B89</f>
        <v>2020</v>
      </c>
      <c r="C881" t="str">
        <f>Clothing!C89</f>
        <v>RUBBER</v>
      </c>
      <c r="D881">
        <f>Clothing!K89</f>
        <v>1.140013260436092</v>
      </c>
      <c r="E881" t="s">
        <v>2040</v>
      </c>
      <c r="F881">
        <f>Clothing!O89</f>
        <v>1</v>
      </c>
      <c r="G881">
        <f>Clothing!P89</f>
        <v>1</v>
      </c>
      <c r="H881">
        <f>Clothing!Q89</f>
        <v>2</v>
      </c>
      <c r="I881">
        <f>Clothing!R89</f>
        <v>2</v>
      </c>
      <c r="J881">
        <f>Clothing!S89</f>
        <v>2</v>
      </c>
      <c r="K881">
        <f t="shared" si="14"/>
        <v>0.37356464144298934</v>
      </c>
    </row>
    <row r="882" spans="1:11">
      <c r="A882" t="s">
        <v>2039</v>
      </c>
      <c r="B882">
        <f>Clothing!B90</f>
        <v>2021</v>
      </c>
      <c r="C882" t="str">
        <f>Clothing!C90</f>
        <v>Acryl</v>
      </c>
      <c r="D882">
        <f>Clothing!K90</f>
        <v>0.65518473797014631</v>
      </c>
      <c r="E882" t="s">
        <v>2040</v>
      </c>
      <c r="F882">
        <f>Clothing!O90</f>
        <v>1</v>
      </c>
      <c r="G882">
        <f>Clothing!P90</f>
        <v>1</v>
      </c>
      <c r="H882">
        <f>Clothing!Q90</f>
        <v>2</v>
      </c>
      <c r="I882">
        <f>Clothing!R90</f>
        <v>2</v>
      </c>
      <c r="J882">
        <f>Clothing!S90</f>
        <v>2</v>
      </c>
      <c r="K882">
        <f t="shared" si="14"/>
        <v>0.37356464144298934</v>
      </c>
    </row>
    <row r="883" spans="1:11">
      <c r="A883" t="s">
        <v>2039</v>
      </c>
      <c r="B883">
        <f>Clothing!B91</f>
        <v>2021</v>
      </c>
      <c r="C883" t="str">
        <f>Clothing!C91</f>
        <v>OTHER</v>
      </c>
      <c r="D883">
        <f>Clothing!K91</f>
        <v>0.92640782050995396</v>
      </c>
      <c r="E883" t="s">
        <v>2040</v>
      </c>
      <c r="F883">
        <f>Clothing!O91</f>
        <v>1</v>
      </c>
      <c r="G883">
        <f>Clothing!P91</f>
        <v>1</v>
      </c>
      <c r="H883">
        <f>Clothing!Q91</f>
        <v>2</v>
      </c>
      <c r="I883">
        <f>Clothing!R91</f>
        <v>2</v>
      </c>
      <c r="J883">
        <f>Clothing!S91</f>
        <v>2</v>
      </c>
      <c r="K883">
        <f t="shared" si="14"/>
        <v>0.37356464144298934</v>
      </c>
    </row>
    <row r="884" spans="1:11">
      <c r="A884" t="s">
        <v>2039</v>
      </c>
      <c r="B884">
        <f>Clothing!B92</f>
        <v>2021</v>
      </c>
      <c r="C884" t="str">
        <f>Clothing!C92</f>
        <v>PA</v>
      </c>
      <c r="D884">
        <f>Clothing!K92</f>
        <v>1.4966883397184942</v>
      </c>
      <c r="E884" t="s">
        <v>2040</v>
      </c>
      <c r="F884">
        <f>Clothing!O92</f>
        <v>1</v>
      </c>
      <c r="G884">
        <f>Clothing!P92</f>
        <v>1</v>
      </c>
      <c r="H884">
        <f>Clothing!Q92</f>
        <v>2</v>
      </c>
      <c r="I884">
        <f>Clothing!R92</f>
        <v>2</v>
      </c>
      <c r="J884">
        <f>Clothing!S92</f>
        <v>2</v>
      </c>
      <c r="K884">
        <f t="shared" si="14"/>
        <v>0.37356464144298934</v>
      </c>
    </row>
    <row r="885" spans="1:11">
      <c r="A885" t="s">
        <v>2039</v>
      </c>
      <c r="B885">
        <f>Clothing!B93</f>
        <v>2021</v>
      </c>
      <c r="C885" t="str">
        <f>Clothing!C93</f>
        <v>PET</v>
      </c>
      <c r="D885">
        <f>Clothing!K93</f>
        <v>5.7671872469139069</v>
      </c>
      <c r="E885" t="s">
        <v>2040</v>
      </c>
      <c r="F885">
        <f>Clothing!O93</f>
        <v>1</v>
      </c>
      <c r="G885">
        <f>Clothing!P93</f>
        <v>1</v>
      </c>
      <c r="H885">
        <f>Clothing!Q93</f>
        <v>2</v>
      </c>
      <c r="I885">
        <f>Clothing!R93</f>
        <v>2</v>
      </c>
      <c r="J885">
        <f>Clothing!S93</f>
        <v>2</v>
      </c>
      <c r="K885">
        <f t="shared" si="14"/>
        <v>0.37356464144298934</v>
      </c>
    </row>
    <row r="886" spans="1:11">
      <c r="A886" t="s">
        <v>2039</v>
      </c>
      <c r="B886">
        <f>Clothing!B94</f>
        <v>2021</v>
      </c>
      <c r="C886" t="str">
        <f>Clothing!C94</f>
        <v>PUR</v>
      </c>
      <c r="D886">
        <f>Clothing!K94</f>
        <v>2.1694329694489514</v>
      </c>
      <c r="E886" t="s">
        <v>2040</v>
      </c>
      <c r="F886">
        <f>Clothing!O94</f>
        <v>1</v>
      </c>
      <c r="G886">
        <f>Clothing!P94</f>
        <v>1</v>
      </c>
      <c r="H886">
        <f>Clothing!Q94</f>
        <v>2</v>
      </c>
      <c r="I886">
        <f>Clothing!R94</f>
        <v>2</v>
      </c>
      <c r="J886">
        <f>Clothing!S94</f>
        <v>2</v>
      </c>
      <c r="K886">
        <f t="shared" si="14"/>
        <v>0.37356464144298934</v>
      </c>
    </row>
    <row r="887" spans="1:11">
      <c r="A887" t="s">
        <v>2039</v>
      </c>
      <c r="B887">
        <f>Clothing!B95</f>
        <v>2021</v>
      </c>
      <c r="C887" t="str">
        <f>Clothing!C95</f>
        <v>PVC</v>
      </c>
      <c r="D887">
        <f>Clothing!K95</f>
        <v>1.2924775324985374</v>
      </c>
      <c r="E887" t="s">
        <v>2040</v>
      </c>
      <c r="F887">
        <f>Clothing!O95</f>
        <v>1</v>
      </c>
      <c r="G887">
        <f>Clothing!P95</f>
        <v>1</v>
      </c>
      <c r="H887">
        <f>Clothing!Q95</f>
        <v>2</v>
      </c>
      <c r="I887">
        <f>Clothing!R95</f>
        <v>2</v>
      </c>
      <c r="J887">
        <f>Clothing!S95</f>
        <v>2</v>
      </c>
      <c r="K887">
        <f t="shared" si="14"/>
        <v>0.37356464144298934</v>
      </c>
    </row>
    <row r="888" spans="1:11">
      <c r="A888" t="s">
        <v>2039</v>
      </c>
      <c r="B888">
        <f>Clothing!B96</f>
        <v>2021</v>
      </c>
      <c r="C888" t="str">
        <f>Clothing!C96</f>
        <v>RUBBER</v>
      </c>
      <c r="D888">
        <f>Clothing!K96</f>
        <v>1.4681029243738821</v>
      </c>
      <c r="E888" t="s">
        <v>2040</v>
      </c>
      <c r="F888">
        <f>Clothing!O96</f>
        <v>1</v>
      </c>
      <c r="G888">
        <f>Clothing!P96</f>
        <v>1</v>
      </c>
      <c r="H888">
        <f>Clothing!Q96</f>
        <v>2</v>
      </c>
      <c r="I888">
        <f>Clothing!R96</f>
        <v>2</v>
      </c>
      <c r="J888">
        <f>Clothing!S96</f>
        <v>2</v>
      </c>
      <c r="K888">
        <f t="shared" si="14"/>
        <v>0.37356464144298934</v>
      </c>
    </row>
    <row r="889" spans="1:11">
      <c r="A889" t="s">
        <v>2039</v>
      </c>
      <c r="B889">
        <f>Clothing!B97</f>
        <v>2022</v>
      </c>
      <c r="C889" t="str">
        <f>Clothing!C97</f>
        <v>Acryl</v>
      </c>
      <c r="D889">
        <f>Clothing!K97</f>
        <v>0.99075859516320341</v>
      </c>
      <c r="E889" t="s">
        <v>2040</v>
      </c>
      <c r="F889">
        <f>Clothing!O97</f>
        <v>1</v>
      </c>
      <c r="G889">
        <f>Clothing!P97</f>
        <v>1</v>
      </c>
      <c r="H889">
        <f>Clothing!Q97</f>
        <v>2</v>
      </c>
      <c r="I889">
        <f>Clothing!R97</f>
        <v>2</v>
      </c>
      <c r="J889">
        <f>Clothing!S97</f>
        <v>2</v>
      </c>
      <c r="K889">
        <f t="shared" si="14"/>
        <v>0.37356464144298934</v>
      </c>
    </row>
    <row r="890" spans="1:11">
      <c r="A890" t="s">
        <v>2039</v>
      </c>
      <c r="B890">
        <f>Clothing!B98</f>
        <v>2022</v>
      </c>
      <c r="C890" t="str">
        <f>Clothing!C98</f>
        <v>OTHER</v>
      </c>
      <c r="D890">
        <f>Clothing!K98</f>
        <v>1.8170584348373229</v>
      </c>
      <c r="E890" t="s">
        <v>2040</v>
      </c>
      <c r="F890">
        <f>Clothing!O98</f>
        <v>1</v>
      </c>
      <c r="G890">
        <f>Clothing!P98</f>
        <v>1</v>
      </c>
      <c r="H890">
        <f>Clothing!Q98</f>
        <v>2</v>
      </c>
      <c r="I890">
        <f>Clothing!R98</f>
        <v>2</v>
      </c>
      <c r="J890">
        <f>Clothing!S98</f>
        <v>2</v>
      </c>
      <c r="K890">
        <f t="shared" si="14"/>
        <v>0.37356464144298934</v>
      </c>
    </row>
    <row r="891" spans="1:11">
      <c r="A891" t="s">
        <v>2039</v>
      </c>
      <c r="B891">
        <f>Clothing!B99</f>
        <v>2022</v>
      </c>
      <c r="C891" t="str">
        <f>Clothing!C99</f>
        <v>PA</v>
      </c>
      <c r="D891">
        <f>Clothing!K99</f>
        <v>2.5935270037679587</v>
      </c>
      <c r="E891" t="s">
        <v>2040</v>
      </c>
      <c r="F891">
        <f>Clothing!O99</f>
        <v>1</v>
      </c>
      <c r="G891">
        <f>Clothing!P99</f>
        <v>1</v>
      </c>
      <c r="H891">
        <f>Clothing!Q99</f>
        <v>2</v>
      </c>
      <c r="I891">
        <f>Clothing!R99</f>
        <v>2</v>
      </c>
      <c r="J891">
        <f>Clothing!S99</f>
        <v>2</v>
      </c>
      <c r="K891">
        <f t="shared" si="14"/>
        <v>0.37356464144298934</v>
      </c>
    </row>
    <row r="892" spans="1:11">
      <c r="A892" t="s">
        <v>2039</v>
      </c>
      <c r="B892">
        <f>Clothing!B100</f>
        <v>2022</v>
      </c>
      <c r="C892" t="str">
        <f>Clothing!C100</f>
        <v>PET</v>
      </c>
      <c r="D892">
        <f>Clothing!K100</f>
        <v>9.3538782409238195</v>
      </c>
      <c r="E892" t="s">
        <v>2040</v>
      </c>
      <c r="F892">
        <f>Clothing!O100</f>
        <v>1</v>
      </c>
      <c r="G892">
        <f>Clothing!P100</f>
        <v>1</v>
      </c>
      <c r="H892">
        <f>Clothing!Q100</f>
        <v>2</v>
      </c>
      <c r="I892">
        <f>Clothing!R100</f>
        <v>2</v>
      </c>
      <c r="J892">
        <f>Clothing!S100</f>
        <v>2</v>
      </c>
      <c r="K892">
        <f t="shared" si="14"/>
        <v>0.37356464144298934</v>
      </c>
    </row>
    <row r="893" spans="1:11">
      <c r="A893" t="s">
        <v>2039</v>
      </c>
      <c r="B893">
        <f>Clothing!B101</f>
        <v>2022</v>
      </c>
      <c r="C893" t="str">
        <f>Clothing!C101</f>
        <v>PUR</v>
      </c>
      <c r="D893">
        <f>Clothing!K101</f>
        <v>2.2275685223288133</v>
      </c>
      <c r="E893" t="s">
        <v>2040</v>
      </c>
      <c r="F893">
        <f>Clothing!O101</f>
        <v>1</v>
      </c>
      <c r="G893">
        <f>Clothing!P101</f>
        <v>1</v>
      </c>
      <c r="H893">
        <f>Clothing!Q101</f>
        <v>2</v>
      </c>
      <c r="I893">
        <f>Clothing!R101</f>
        <v>2</v>
      </c>
      <c r="J893">
        <f>Clothing!S101</f>
        <v>2</v>
      </c>
      <c r="K893">
        <f t="shared" ref="K893:K956" si="15">IF( OR( ISBLANK(F893),ISBLANK(G893), ISBLANK(H893), ISBLANK(I893), ISBLANK(J893) ), "", 1.5*SQRT(   EXP(2.21*(F893-1)) + EXP(2.21*(G893-1)) + EXP(2.21*(H893-1)) + EXP(2.21*(I893-1)) + EXP(2.21*J893)   )/100*2.45 )</f>
        <v>0.37356464144298934</v>
      </c>
    </row>
    <row r="894" spans="1:11">
      <c r="A894" t="s">
        <v>2039</v>
      </c>
      <c r="B894">
        <f>Clothing!B102</f>
        <v>2022</v>
      </c>
      <c r="C894" t="str">
        <f>Clothing!C102</f>
        <v>PVC</v>
      </c>
      <c r="D894">
        <f>Clothing!K102</f>
        <v>1.3615167256033429</v>
      </c>
      <c r="E894" t="s">
        <v>2040</v>
      </c>
      <c r="F894">
        <f>Clothing!O102</f>
        <v>1</v>
      </c>
      <c r="G894">
        <f>Clothing!P102</f>
        <v>1</v>
      </c>
      <c r="H894">
        <f>Clothing!Q102</f>
        <v>2</v>
      </c>
      <c r="I894">
        <f>Clothing!R102</f>
        <v>2</v>
      </c>
      <c r="J894">
        <f>Clothing!S102</f>
        <v>2</v>
      </c>
      <c r="K894">
        <f t="shared" si="15"/>
        <v>0.37356464144298934</v>
      </c>
    </row>
    <row r="895" spans="1:11">
      <c r="A895" t="s">
        <v>2039</v>
      </c>
      <c r="B895">
        <f>Clothing!B103</f>
        <v>2022</v>
      </c>
      <c r="C895" t="str">
        <f>Clothing!C103</f>
        <v>RUBBER</v>
      </c>
      <c r="D895">
        <f>Clothing!K103</f>
        <v>1.838841935898575</v>
      </c>
      <c r="E895" t="s">
        <v>2040</v>
      </c>
      <c r="F895">
        <f>Clothing!O103</f>
        <v>1</v>
      </c>
      <c r="G895">
        <f>Clothing!P103</f>
        <v>1</v>
      </c>
      <c r="H895">
        <f>Clothing!Q103</f>
        <v>2</v>
      </c>
      <c r="I895">
        <f>Clothing!R103</f>
        <v>2</v>
      </c>
      <c r="J895">
        <f>Clothing!S103</f>
        <v>2</v>
      </c>
      <c r="K895">
        <f t="shared" si="15"/>
        <v>0.37356464144298934</v>
      </c>
    </row>
    <row r="896" spans="1:11">
      <c r="A896" t="s">
        <v>2039</v>
      </c>
      <c r="B896">
        <f>Clothing!B20</f>
        <v>2011</v>
      </c>
      <c r="C896" t="str">
        <f>Clothing!C20</f>
        <v>Acryl</v>
      </c>
      <c r="D896">
        <f>Clothing!L20</f>
        <v>1.9845253012104647</v>
      </c>
      <c r="E896" t="s">
        <v>2041</v>
      </c>
      <c r="F896">
        <f>Clothing!O20</f>
        <v>1</v>
      </c>
      <c r="G896">
        <f>Clothing!P20</f>
        <v>1</v>
      </c>
      <c r="H896">
        <f>Clothing!Q20</f>
        <v>2</v>
      </c>
      <c r="I896">
        <f>Clothing!R20</f>
        <v>2</v>
      </c>
      <c r="J896">
        <f>Clothing!S20</f>
        <v>2</v>
      </c>
      <c r="K896">
        <f t="shared" si="15"/>
        <v>0.37356464144298934</v>
      </c>
    </row>
    <row r="897" spans="1:11">
      <c r="A897" t="s">
        <v>2039</v>
      </c>
      <c r="B897">
        <f>Clothing!B21</f>
        <v>2011</v>
      </c>
      <c r="C897" t="str">
        <f>Clothing!C21</f>
        <v>OTHER</v>
      </c>
      <c r="D897">
        <f>Clothing!L21</f>
        <v>2.9341755670173431</v>
      </c>
      <c r="E897" t="s">
        <v>2041</v>
      </c>
      <c r="F897">
        <f>Clothing!O21</f>
        <v>1</v>
      </c>
      <c r="G897">
        <f>Clothing!P21</f>
        <v>1</v>
      </c>
      <c r="H897">
        <f>Clothing!Q21</f>
        <v>2</v>
      </c>
      <c r="I897">
        <f>Clothing!R21</f>
        <v>2</v>
      </c>
      <c r="J897">
        <f>Clothing!S21</f>
        <v>2</v>
      </c>
      <c r="K897">
        <f t="shared" si="15"/>
        <v>0.37356464144298934</v>
      </c>
    </row>
    <row r="898" spans="1:11">
      <c r="A898" t="s">
        <v>2039</v>
      </c>
      <c r="B898">
        <f>Clothing!B22</f>
        <v>2011</v>
      </c>
      <c r="C898" t="str">
        <f>Clothing!C22</f>
        <v>PA</v>
      </c>
      <c r="D898">
        <f>Clothing!L22</f>
        <v>6.7478780365717546</v>
      </c>
      <c r="E898" t="s">
        <v>2041</v>
      </c>
      <c r="F898">
        <f>Clothing!O22</f>
        <v>1</v>
      </c>
      <c r="G898">
        <f>Clothing!P22</f>
        <v>1</v>
      </c>
      <c r="H898">
        <f>Clothing!Q22</f>
        <v>2</v>
      </c>
      <c r="I898">
        <f>Clothing!R22</f>
        <v>2</v>
      </c>
      <c r="J898">
        <f>Clothing!S22</f>
        <v>2</v>
      </c>
      <c r="K898">
        <f t="shared" si="15"/>
        <v>0.37356464144298934</v>
      </c>
    </row>
    <row r="899" spans="1:11">
      <c r="A899" t="s">
        <v>2039</v>
      </c>
      <c r="B899">
        <f>Clothing!B23</f>
        <v>2011</v>
      </c>
      <c r="C899" t="str">
        <f>Clothing!C23</f>
        <v>PET</v>
      </c>
      <c r="D899">
        <f>Clothing!L23</f>
        <v>18.569991812000467</v>
      </c>
      <c r="E899" t="s">
        <v>2041</v>
      </c>
      <c r="F899">
        <f>Clothing!O23</f>
        <v>1</v>
      </c>
      <c r="G899">
        <f>Clothing!P23</f>
        <v>1</v>
      </c>
      <c r="H899">
        <f>Clothing!Q23</f>
        <v>2</v>
      </c>
      <c r="I899">
        <f>Clothing!R23</f>
        <v>2</v>
      </c>
      <c r="J899">
        <f>Clothing!S23</f>
        <v>2</v>
      </c>
      <c r="K899">
        <f t="shared" si="15"/>
        <v>0.37356464144298934</v>
      </c>
    </row>
    <row r="900" spans="1:11">
      <c r="A900" t="s">
        <v>2039</v>
      </c>
      <c r="B900">
        <f>Clothing!B24</f>
        <v>2011</v>
      </c>
      <c r="C900" t="str">
        <f>Clothing!C24</f>
        <v>PUR</v>
      </c>
      <c r="D900">
        <f>Clothing!L24</f>
        <v>3.105654630323655</v>
      </c>
      <c r="E900" t="s">
        <v>2041</v>
      </c>
      <c r="F900">
        <f>Clothing!O24</f>
        <v>1</v>
      </c>
      <c r="G900">
        <f>Clothing!P24</f>
        <v>1</v>
      </c>
      <c r="H900">
        <f>Clothing!Q24</f>
        <v>2</v>
      </c>
      <c r="I900">
        <f>Clothing!R24</f>
        <v>2</v>
      </c>
      <c r="J900">
        <f>Clothing!S24</f>
        <v>2</v>
      </c>
      <c r="K900">
        <f t="shared" si="15"/>
        <v>0.37356464144298934</v>
      </c>
    </row>
    <row r="901" spans="1:11">
      <c r="A901" t="s">
        <v>2039</v>
      </c>
      <c r="B901">
        <f>Clothing!B25</f>
        <v>2011</v>
      </c>
      <c r="C901" t="str">
        <f>Clothing!C25</f>
        <v>PVC</v>
      </c>
      <c r="D901">
        <f>Clothing!L25</f>
        <v>1.8825270369600902</v>
      </c>
      <c r="E901" t="s">
        <v>2041</v>
      </c>
      <c r="F901">
        <f>Clothing!O25</f>
        <v>1</v>
      </c>
      <c r="G901">
        <f>Clothing!P25</f>
        <v>1</v>
      </c>
      <c r="H901">
        <f>Clothing!Q25</f>
        <v>2</v>
      </c>
      <c r="I901">
        <f>Clothing!R25</f>
        <v>2</v>
      </c>
      <c r="J901">
        <f>Clothing!S25</f>
        <v>2</v>
      </c>
      <c r="K901">
        <f t="shared" si="15"/>
        <v>0.37356464144298934</v>
      </c>
    </row>
    <row r="902" spans="1:11">
      <c r="A902" t="s">
        <v>2039</v>
      </c>
      <c r="B902">
        <f>Clothing!B26</f>
        <v>2011</v>
      </c>
      <c r="C902" t="str">
        <f>Clothing!C26</f>
        <v>RUBBER</v>
      </c>
      <c r="D902">
        <f>Clothing!L26</f>
        <v>2.4061841954118264</v>
      </c>
      <c r="E902" t="s">
        <v>2041</v>
      </c>
      <c r="F902">
        <f>Clothing!O26</f>
        <v>1</v>
      </c>
      <c r="G902">
        <f>Clothing!P26</f>
        <v>1</v>
      </c>
      <c r="H902">
        <f>Clothing!Q26</f>
        <v>2</v>
      </c>
      <c r="I902">
        <f>Clothing!R26</f>
        <v>2</v>
      </c>
      <c r="J902">
        <f>Clothing!S26</f>
        <v>2</v>
      </c>
      <c r="K902">
        <f t="shared" si="15"/>
        <v>0.37356464144298934</v>
      </c>
    </row>
    <row r="903" spans="1:11">
      <c r="A903" t="s">
        <v>2039</v>
      </c>
      <c r="B903">
        <f>Clothing!B27</f>
        <v>2012</v>
      </c>
      <c r="C903" t="str">
        <f>Clothing!C27</f>
        <v>Acryl</v>
      </c>
      <c r="D903">
        <f>Clothing!L27</f>
        <v>2.0194464397371363</v>
      </c>
      <c r="E903" t="s">
        <v>2041</v>
      </c>
      <c r="F903">
        <f>Clothing!O27</f>
        <v>1</v>
      </c>
      <c r="G903">
        <f>Clothing!P27</f>
        <v>1</v>
      </c>
      <c r="H903">
        <f>Clothing!Q27</f>
        <v>2</v>
      </c>
      <c r="I903">
        <f>Clothing!R27</f>
        <v>2</v>
      </c>
      <c r="J903">
        <f>Clothing!S27</f>
        <v>2</v>
      </c>
      <c r="K903">
        <f t="shared" si="15"/>
        <v>0.37356464144298934</v>
      </c>
    </row>
    <row r="904" spans="1:11">
      <c r="A904" t="s">
        <v>2039</v>
      </c>
      <c r="B904">
        <f>Clothing!B28</f>
        <v>2012</v>
      </c>
      <c r="C904" t="str">
        <f>Clothing!C28</f>
        <v>OTHER</v>
      </c>
      <c r="D904">
        <f>Clothing!L28</f>
        <v>2.407941105316683</v>
      </c>
      <c r="E904" t="s">
        <v>2041</v>
      </c>
      <c r="F904">
        <f>Clothing!O28</f>
        <v>1</v>
      </c>
      <c r="G904">
        <f>Clothing!P28</f>
        <v>1</v>
      </c>
      <c r="H904">
        <f>Clothing!Q28</f>
        <v>2</v>
      </c>
      <c r="I904">
        <f>Clothing!R28</f>
        <v>2</v>
      </c>
      <c r="J904">
        <f>Clothing!S28</f>
        <v>2</v>
      </c>
      <c r="K904">
        <f t="shared" si="15"/>
        <v>0.37356464144298934</v>
      </c>
    </row>
    <row r="905" spans="1:11">
      <c r="A905" t="s">
        <v>2039</v>
      </c>
      <c r="B905">
        <f>Clothing!B29</f>
        <v>2012</v>
      </c>
      <c r="C905" t="str">
        <f>Clothing!C29</f>
        <v>PA</v>
      </c>
      <c r="D905">
        <f>Clothing!L29</f>
        <v>5.9213615953736403</v>
      </c>
      <c r="E905" t="s">
        <v>2041</v>
      </c>
      <c r="F905">
        <f>Clothing!O29</f>
        <v>1</v>
      </c>
      <c r="G905">
        <f>Clothing!P29</f>
        <v>1</v>
      </c>
      <c r="H905">
        <f>Clothing!Q29</f>
        <v>2</v>
      </c>
      <c r="I905">
        <f>Clothing!R29</f>
        <v>2</v>
      </c>
      <c r="J905">
        <f>Clothing!S29</f>
        <v>2</v>
      </c>
      <c r="K905">
        <f t="shared" si="15"/>
        <v>0.37356464144298934</v>
      </c>
    </row>
    <row r="906" spans="1:11">
      <c r="A906" t="s">
        <v>2039</v>
      </c>
      <c r="B906">
        <f>Clothing!B30</f>
        <v>2012</v>
      </c>
      <c r="C906" t="str">
        <f>Clothing!C30</f>
        <v>PET</v>
      </c>
      <c r="D906">
        <f>Clothing!L30</f>
        <v>19.340771473126281</v>
      </c>
      <c r="E906" t="s">
        <v>2041</v>
      </c>
      <c r="F906">
        <f>Clothing!O30</f>
        <v>1</v>
      </c>
      <c r="G906">
        <f>Clothing!P30</f>
        <v>1</v>
      </c>
      <c r="H906">
        <f>Clothing!Q30</f>
        <v>2</v>
      </c>
      <c r="I906">
        <f>Clothing!R30</f>
        <v>2</v>
      </c>
      <c r="J906">
        <f>Clothing!S30</f>
        <v>2</v>
      </c>
      <c r="K906">
        <f t="shared" si="15"/>
        <v>0.37356464144298934</v>
      </c>
    </row>
    <row r="907" spans="1:11">
      <c r="A907" t="s">
        <v>2039</v>
      </c>
      <c r="B907">
        <f>Clothing!B31</f>
        <v>2012</v>
      </c>
      <c r="C907" t="str">
        <f>Clothing!C31</f>
        <v>PUR</v>
      </c>
      <c r="D907">
        <f>Clothing!L31</f>
        <v>2.8781028318441906</v>
      </c>
      <c r="E907" t="s">
        <v>2041</v>
      </c>
      <c r="F907">
        <f>Clothing!O31</f>
        <v>1</v>
      </c>
      <c r="G907">
        <f>Clothing!P31</f>
        <v>1</v>
      </c>
      <c r="H907">
        <f>Clothing!Q31</f>
        <v>2</v>
      </c>
      <c r="I907">
        <f>Clothing!R31</f>
        <v>2</v>
      </c>
      <c r="J907">
        <f>Clothing!S31</f>
        <v>2</v>
      </c>
      <c r="K907">
        <f t="shared" si="15"/>
        <v>0.37356464144298934</v>
      </c>
    </row>
    <row r="908" spans="1:11">
      <c r="A908" t="s">
        <v>2039</v>
      </c>
      <c r="B908">
        <f>Clothing!B32</f>
        <v>2012</v>
      </c>
      <c r="C908" t="str">
        <f>Clothing!C32</f>
        <v>PVC</v>
      </c>
      <c r="D908">
        <f>Clothing!L32</f>
        <v>1.7303209809938762</v>
      </c>
      <c r="E908" t="s">
        <v>2041</v>
      </c>
      <c r="F908">
        <f>Clothing!O32</f>
        <v>1</v>
      </c>
      <c r="G908">
        <f>Clothing!P32</f>
        <v>1</v>
      </c>
      <c r="H908">
        <f>Clothing!Q32</f>
        <v>2</v>
      </c>
      <c r="I908">
        <f>Clothing!R32</f>
        <v>2</v>
      </c>
      <c r="J908">
        <f>Clothing!S32</f>
        <v>2</v>
      </c>
      <c r="K908">
        <f t="shared" si="15"/>
        <v>0.37356464144298934</v>
      </c>
    </row>
    <row r="909" spans="1:11">
      <c r="A909" t="s">
        <v>2039</v>
      </c>
      <c r="B909">
        <f>Clothing!B33</f>
        <v>2012</v>
      </c>
      <c r="C909" t="str">
        <f>Clothing!C33</f>
        <v>RUBBER</v>
      </c>
      <c r="D909">
        <f>Clothing!L33</f>
        <v>2.0871560792953407</v>
      </c>
      <c r="E909" t="s">
        <v>2041</v>
      </c>
      <c r="F909">
        <f>Clothing!O33</f>
        <v>1</v>
      </c>
      <c r="G909">
        <f>Clothing!P33</f>
        <v>1</v>
      </c>
      <c r="H909">
        <f>Clothing!Q33</f>
        <v>2</v>
      </c>
      <c r="I909">
        <f>Clothing!R33</f>
        <v>2</v>
      </c>
      <c r="J909">
        <f>Clothing!S33</f>
        <v>2</v>
      </c>
      <c r="K909">
        <f t="shared" si="15"/>
        <v>0.37356464144298934</v>
      </c>
    </row>
    <row r="910" spans="1:11">
      <c r="A910" t="s">
        <v>2039</v>
      </c>
      <c r="B910">
        <f>Clothing!B34</f>
        <v>2013</v>
      </c>
      <c r="C910" t="str">
        <f>Clothing!C34</f>
        <v>Acryl</v>
      </c>
      <c r="D910">
        <f>Clothing!L34</f>
        <v>1.9499770340123825</v>
      </c>
      <c r="E910" t="s">
        <v>2041</v>
      </c>
      <c r="F910">
        <f>Clothing!O34</f>
        <v>1</v>
      </c>
      <c r="G910">
        <f>Clothing!P34</f>
        <v>1</v>
      </c>
      <c r="H910">
        <f>Clothing!Q34</f>
        <v>2</v>
      </c>
      <c r="I910">
        <f>Clothing!R34</f>
        <v>2</v>
      </c>
      <c r="J910">
        <f>Clothing!S34</f>
        <v>2</v>
      </c>
      <c r="K910">
        <f t="shared" si="15"/>
        <v>0.37356464144298934</v>
      </c>
    </row>
    <row r="911" spans="1:11">
      <c r="A911" t="s">
        <v>2039</v>
      </c>
      <c r="B911">
        <f>Clothing!B35</f>
        <v>2013</v>
      </c>
      <c r="C911" t="str">
        <f>Clothing!C35</f>
        <v>OTHER</v>
      </c>
      <c r="D911">
        <f>Clothing!L35</f>
        <v>2.6988986889510591</v>
      </c>
      <c r="E911" t="s">
        <v>2041</v>
      </c>
      <c r="F911">
        <f>Clothing!O35</f>
        <v>1</v>
      </c>
      <c r="G911">
        <f>Clothing!P35</f>
        <v>1</v>
      </c>
      <c r="H911">
        <f>Clothing!Q35</f>
        <v>2</v>
      </c>
      <c r="I911">
        <f>Clothing!R35</f>
        <v>2</v>
      </c>
      <c r="J911">
        <f>Clothing!S35</f>
        <v>2</v>
      </c>
      <c r="K911">
        <f t="shared" si="15"/>
        <v>0.37356464144298934</v>
      </c>
    </row>
    <row r="912" spans="1:11">
      <c r="A912" t="s">
        <v>2039</v>
      </c>
      <c r="B912">
        <f>Clothing!B36</f>
        <v>2013</v>
      </c>
      <c r="C912" t="str">
        <f>Clothing!C36</f>
        <v>PA</v>
      </c>
      <c r="D912">
        <f>Clothing!L36</f>
        <v>6.014422699973105</v>
      </c>
      <c r="E912" t="s">
        <v>2041</v>
      </c>
      <c r="F912">
        <f>Clothing!O36</f>
        <v>1</v>
      </c>
      <c r="G912">
        <f>Clothing!P36</f>
        <v>1</v>
      </c>
      <c r="H912">
        <f>Clothing!Q36</f>
        <v>2</v>
      </c>
      <c r="I912">
        <f>Clothing!R36</f>
        <v>2</v>
      </c>
      <c r="J912">
        <f>Clothing!S36</f>
        <v>2</v>
      </c>
      <c r="K912">
        <f t="shared" si="15"/>
        <v>0.37356464144298934</v>
      </c>
    </row>
    <row r="913" spans="1:11">
      <c r="A913" t="s">
        <v>2039</v>
      </c>
      <c r="B913">
        <f>Clothing!B37</f>
        <v>2013</v>
      </c>
      <c r="C913" t="str">
        <f>Clothing!C37</f>
        <v>PET</v>
      </c>
      <c r="D913">
        <f>Clothing!L37</f>
        <v>20.593686543417839</v>
      </c>
      <c r="E913" t="s">
        <v>2041</v>
      </c>
      <c r="F913">
        <f>Clothing!O37</f>
        <v>1</v>
      </c>
      <c r="G913">
        <f>Clothing!P37</f>
        <v>1</v>
      </c>
      <c r="H913">
        <f>Clothing!Q37</f>
        <v>2</v>
      </c>
      <c r="I913">
        <f>Clothing!R37</f>
        <v>2</v>
      </c>
      <c r="J913">
        <f>Clothing!S37</f>
        <v>2</v>
      </c>
      <c r="K913">
        <f t="shared" si="15"/>
        <v>0.37356464144298934</v>
      </c>
    </row>
    <row r="914" spans="1:11">
      <c r="A914" t="s">
        <v>2039</v>
      </c>
      <c r="B914">
        <f>Clothing!B38</f>
        <v>2013</v>
      </c>
      <c r="C914" t="str">
        <f>Clothing!C38</f>
        <v>PUR</v>
      </c>
      <c r="D914">
        <f>Clothing!L38</f>
        <v>2.9474069352598753</v>
      </c>
      <c r="E914" t="s">
        <v>2041</v>
      </c>
      <c r="F914">
        <f>Clothing!O38</f>
        <v>1</v>
      </c>
      <c r="G914">
        <f>Clothing!P38</f>
        <v>1</v>
      </c>
      <c r="H914">
        <f>Clothing!Q38</f>
        <v>2</v>
      </c>
      <c r="I914">
        <f>Clothing!R38</f>
        <v>2</v>
      </c>
      <c r="J914">
        <f>Clothing!S38</f>
        <v>2</v>
      </c>
      <c r="K914">
        <f t="shared" si="15"/>
        <v>0.37356464144298934</v>
      </c>
    </row>
    <row r="915" spans="1:11">
      <c r="A915" t="s">
        <v>2039</v>
      </c>
      <c r="B915">
        <f>Clothing!B39</f>
        <v>2013</v>
      </c>
      <c r="C915" t="str">
        <f>Clothing!C39</f>
        <v>PVC</v>
      </c>
      <c r="D915">
        <f>Clothing!L39</f>
        <v>1.7979935300838301</v>
      </c>
      <c r="E915" t="s">
        <v>2041</v>
      </c>
      <c r="F915">
        <f>Clothing!O39</f>
        <v>1</v>
      </c>
      <c r="G915">
        <f>Clothing!P39</f>
        <v>1</v>
      </c>
      <c r="H915">
        <f>Clothing!Q39</f>
        <v>2</v>
      </c>
      <c r="I915">
        <f>Clothing!R39</f>
        <v>2</v>
      </c>
      <c r="J915">
        <f>Clothing!S39</f>
        <v>2</v>
      </c>
      <c r="K915">
        <f t="shared" si="15"/>
        <v>0.37356464144298934</v>
      </c>
    </row>
    <row r="916" spans="1:11">
      <c r="A916" t="s">
        <v>2039</v>
      </c>
      <c r="B916">
        <f>Clothing!B40</f>
        <v>2013</v>
      </c>
      <c r="C916" t="str">
        <f>Clothing!C40</f>
        <v>RUBBER</v>
      </c>
      <c r="D916">
        <f>Clothing!L40</f>
        <v>2.3650207075623584</v>
      </c>
      <c r="E916" t="s">
        <v>2041</v>
      </c>
      <c r="F916">
        <f>Clothing!O40</f>
        <v>1</v>
      </c>
      <c r="G916">
        <f>Clothing!P40</f>
        <v>1</v>
      </c>
      <c r="H916">
        <f>Clothing!Q40</f>
        <v>2</v>
      </c>
      <c r="I916">
        <f>Clothing!R40</f>
        <v>2</v>
      </c>
      <c r="J916">
        <f>Clothing!S40</f>
        <v>2</v>
      </c>
      <c r="K916">
        <f t="shared" si="15"/>
        <v>0.37356464144298934</v>
      </c>
    </row>
    <row r="917" spans="1:11">
      <c r="A917" t="s">
        <v>2039</v>
      </c>
      <c r="B917">
        <f>Clothing!B41</f>
        <v>2014</v>
      </c>
      <c r="C917" t="str">
        <f>Clothing!C41</f>
        <v>Acryl</v>
      </c>
      <c r="D917">
        <f>Clothing!L41</f>
        <v>1.8827188971781623</v>
      </c>
      <c r="E917" t="s">
        <v>2041</v>
      </c>
      <c r="F917">
        <f>Clothing!O41</f>
        <v>1</v>
      </c>
      <c r="G917">
        <f>Clothing!P41</f>
        <v>1</v>
      </c>
      <c r="H917">
        <f>Clothing!Q41</f>
        <v>2</v>
      </c>
      <c r="I917">
        <f>Clothing!R41</f>
        <v>2</v>
      </c>
      <c r="J917">
        <f>Clothing!S41</f>
        <v>2</v>
      </c>
      <c r="K917">
        <f t="shared" si="15"/>
        <v>0.37356464144298934</v>
      </c>
    </row>
    <row r="918" spans="1:11">
      <c r="A918" t="s">
        <v>2039</v>
      </c>
      <c r="B918">
        <f>Clothing!B42</f>
        <v>2014</v>
      </c>
      <c r="C918" t="str">
        <f>Clothing!C42</f>
        <v>OTHER</v>
      </c>
      <c r="D918">
        <f>Clothing!L42</f>
        <v>3.1456988748766959</v>
      </c>
      <c r="E918" t="s">
        <v>2041</v>
      </c>
      <c r="F918">
        <f>Clothing!O42</f>
        <v>1</v>
      </c>
      <c r="G918">
        <f>Clothing!P42</f>
        <v>1</v>
      </c>
      <c r="H918">
        <f>Clothing!Q42</f>
        <v>2</v>
      </c>
      <c r="I918">
        <f>Clothing!R42</f>
        <v>2</v>
      </c>
      <c r="J918">
        <f>Clothing!S42</f>
        <v>2</v>
      </c>
      <c r="K918">
        <f t="shared" si="15"/>
        <v>0.37356464144298934</v>
      </c>
    </row>
    <row r="919" spans="1:11">
      <c r="A919" t="s">
        <v>2039</v>
      </c>
      <c r="B919">
        <f>Clothing!B43</f>
        <v>2014</v>
      </c>
      <c r="C919" t="str">
        <f>Clothing!C43</f>
        <v>PA</v>
      </c>
      <c r="D919">
        <f>Clothing!L43</f>
        <v>6.3867623086131644</v>
      </c>
      <c r="E919" t="s">
        <v>2041</v>
      </c>
      <c r="F919">
        <f>Clothing!O43</f>
        <v>1</v>
      </c>
      <c r="G919">
        <f>Clothing!P43</f>
        <v>1</v>
      </c>
      <c r="H919">
        <f>Clothing!Q43</f>
        <v>2</v>
      </c>
      <c r="I919">
        <f>Clothing!R43</f>
        <v>2</v>
      </c>
      <c r="J919">
        <f>Clothing!S43</f>
        <v>2</v>
      </c>
      <c r="K919">
        <f t="shared" si="15"/>
        <v>0.37356464144298934</v>
      </c>
    </row>
    <row r="920" spans="1:11">
      <c r="A920" t="s">
        <v>2039</v>
      </c>
      <c r="B920">
        <f>Clothing!B44</f>
        <v>2014</v>
      </c>
      <c r="C920" t="str">
        <f>Clothing!C44</f>
        <v>PET</v>
      </c>
      <c r="D920">
        <f>Clothing!L44</f>
        <v>21.757217253712884</v>
      </c>
      <c r="E920" t="s">
        <v>2041</v>
      </c>
      <c r="F920">
        <f>Clothing!O44</f>
        <v>1</v>
      </c>
      <c r="G920">
        <f>Clothing!P44</f>
        <v>1</v>
      </c>
      <c r="H920">
        <f>Clothing!Q44</f>
        <v>2</v>
      </c>
      <c r="I920">
        <f>Clothing!R44</f>
        <v>2</v>
      </c>
      <c r="J920">
        <f>Clothing!S44</f>
        <v>2</v>
      </c>
      <c r="K920">
        <f t="shared" si="15"/>
        <v>0.37356464144298934</v>
      </c>
    </row>
    <row r="921" spans="1:11">
      <c r="A921" t="s">
        <v>2039</v>
      </c>
      <c r="B921">
        <f>Clothing!B45</f>
        <v>2014</v>
      </c>
      <c r="C921" t="str">
        <f>Clothing!C45</f>
        <v>PUR</v>
      </c>
      <c r="D921">
        <f>Clothing!L45</f>
        <v>3.5134873129532029</v>
      </c>
      <c r="E921" t="s">
        <v>2041</v>
      </c>
      <c r="F921">
        <f>Clothing!O45</f>
        <v>1</v>
      </c>
      <c r="G921">
        <f>Clothing!P45</f>
        <v>1</v>
      </c>
      <c r="H921">
        <f>Clothing!Q45</f>
        <v>2</v>
      </c>
      <c r="I921">
        <f>Clothing!R45</f>
        <v>2</v>
      </c>
      <c r="J921">
        <f>Clothing!S45</f>
        <v>2</v>
      </c>
      <c r="K921">
        <f t="shared" si="15"/>
        <v>0.37356464144298934</v>
      </c>
    </row>
    <row r="922" spans="1:11">
      <c r="A922" t="s">
        <v>2039</v>
      </c>
      <c r="B922">
        <f>Clothing!B46</f>
        <v>2014</v>
      </c>
      <c r="C922" t="str">
        <f>Clothing!C46</f>
        <v>PVC</v>
      </c>
      <c r="D922">
        <f>Clothing!L46</f>
        <v>2.14050735858505</v>
      </c>
      <c r="E922" t="s">
        <v>2041</v>
      </c>
      <c r="F922">
        <f>Clothing!O46</f>
        <v>1</v>
      </c>
      <c r="G922">
        <f>Clothing!P46</f>
        <v>1</v>
      </c>
      <c r="H922">
        <f>Clothing!Q46</f>
        <v>2</v>
      </c>
      <c r="I922">
        <f>Clothing!R46</f>
        <v>2</v>
      </c>
      <c r="J922">
        <f>Clothing!S46</f>
        <v>2</v>
      </c>
      <c r="K922">
        <f t="shared" si="15"/>
        <v>0.37356464144298934</v>
      </c>
    </row>
    <row r="923" spans="1:11">
      <c r="A923" t="s">
        <v>2039</v>
      </c>
      <c r="B923">
        <f>Clothing!B47</f>
        <v>2014</v>
      </c>
      <c r="C923" t="str">
        <f>Clothing!C47</f>
        <v>RUBBER</v>
      </c>
      <c r="D923">
        <f>Clothing!L47</f>
        <v>2.7611207615196154</v>
      </c>
      <c r="E923" t="s">
        <v>2041</v>
      </c>
      <c r="F923">
        <f>Clothing!O47</f>
        <v>1</v>
      </c>
      <c r="G923">
        <f>Clothing!P47</f>
        <v>1</v>
      </c>
      <c r="H923">
        <f>Clothing!Q47</f>
        <v>2</v>
      </c>
      <c r="I923">
        <f>Clothing!R47</f>
        <v>2</v>
      </c>
      <c r="J923">
        <f>Clothing!S47</f>
        <v>2</v>
      </c>
      <c r="K923">
        <f t="shared" si="15"/>
        <v>0.37356464144298934</v>
      </c>
    </row>
    <row r="924" spans="1:11">
      <c r="A924" t="s">
        <v>2039</v>
      </c>
      <c r="B924">
        <f>Clothing!B48</f>
        <v>2015</v>
      </c>
      <c r="C924" t="str">
        <f>Clothing!C48</f>
        <v>Acryl</v>
      </c>
      <c r="D924">
        <f>Clothing!L48</f>
        <v>1.8407216746577577</v>
      </c>
      <c r="E924" t="s">
        <v>2041</v>
      </c>
      <c r="F924">
        <f>Clothing!O48</f>
        <v>1</v>
      </c>
      <c r="G924">
        <f>Clothing!P48</f>
        <v>1</v>
      </c>
      <c r="H924">
        <f>Clothing!Q48</f>
        <v>2</v>
      </c>
      <c r="I924">
        <f>Clothing!R48</f>
        <v>2</v>
      </c>
      <c r="J924">
        <f>Clothing!S48</f>
        <v>2</v>
      </c>
      <c r="K924">
        <f t="shared" si="15"/>
        <v>0.37356464144298934</v>
      </c>
    </row>
    <row r="925" spans="1:11">
      <c r="A925" t="s">
        <v>2039</v>
      </c>
      <c r="B925">
        <f>Clothing!B49</f>
        <v>2015</v>
      </c>
      <c r="C925" t="str">
        <f>Clothing!C49</f>
        <v>OTHER</v>
      </c>
      <c r="D925">
        <f>Clothing!L49</f>
        <v>3.0304967384318426</v>
      </c>
      <c r="E925" t="s">
        <v>2041</v>
      </c>
      <c r="F925">
        <f>Clothing!O49</f>
        <v>1</v>
      </c>
      <c r="G925">
        <f>Clothing!P49</f>
        <v>1</v>
      </c>
      <c r="H925">
        <f>Clothing!Q49</f>
        <v>2</v>
      </c>
      <c r="I925">
        <f>Clothing!R49</f>
        <v>2</v>
      </c>
      <c r="J925">
        <f>Clothing!S49</f>
        <v>2</v>
      </c>
      <c r="K925">
        <f t="shared" si="15"/>
        <v>0.37356464144298934</v>
      </c>
    </row>
    <row r="926" spans="1:11">
      <c r="A926" t="s">
        <v>2039</v>
      </c>
      <c r="B926">
        <f>Clothing!B50</f>
        <v>2015</v>
      </c>
      <c r="C926" t="str">
        <f>Clothing!C50</f>
        <v>PA</v>
      </c>
      <c r="D926">
        <f>Clothing!L50</f>
        <v>5.9459099941765752</v>
      </c>
      <c r="E926" t="s">
        <v>2041</v>
      </c>
      <c r="F926">
        <f>Clothing!O50</f>
        <v>1</v>
      </c>
      <c r="G926">
        <f>Clothing!P50</f>
        <v>1</v>
      </c>
      <c r="H926">
        <f>Clothing!Q50</f>
        <v>2</v>
      </c>
      <c r="I926">
        <f>Clothing!R50</f>
        <v>2</v>
      </c>
      <c r="J926">
        <f>Clothing!S50</f>
        <v>2</v>
      </c>
      <c r="K926">
        <f t="shared" si="15"/>
        <v>0.37356464144298934</v>
      </c>
    </row>
    <row r="927" spans="1:11">
      <c r="A927" t="s">
        <v>2039</v>
      </c>
      <c r="B927">
        <f>Clothing!B51</f>
        <v>2015</v>
      </c>
      <c r="C927" t="str">
        <f>Clothing!C51</f>
        <v>PET</v>
      </c>
      <c r="D927">
        <f>Clothing!L51</f>
        <v>20.19865710151014</v>
      </c>
      <c r="E927" t="s">
        <v>2041</v>
      </c>
      <c r="F927">
        <f>Clothing!O51</f>
        <v>1</v>
      </c>
      <c r="G927">
        <f>Clothing!P51</f>
        <v>1</v>
      </c>
      <c r="H927">
        <f>Clothing!Q51</f>
        <v>2</v>
      </c>
      <c r="I927">
        <f>Clothing!R51</f>
        <v>2</v>
      </c>
      <c r="J927">
        <f>Clothing!S51</f>
        <v>2</v>
      </c>
      <c r="K927">
        <f t="shared" si="15"/>
        <v>0.37356464144298934</v>
      </c>
    </row>
    <row r="928" spans="1:11">
      <c r="A928" t="s">
        <v>2039</v>
      </c>
      <c r="B928">
        <f>Clothing!B52</f>
        <v>2015</v>
      </c>
      <c r="C928" t="str">
        <f>Clothing!C52</f>
        <v>PUR</v>
      </c>
      <c r="D928">
        <f>Clothing!L52</f>
        <v>3.832158328239514</v>
      </c>
      <c r="E928" t="s">
        <v>2041</v>
      </c>
      <c r="F928">
        <f>Clothing!O52</f>
        <v>1</v>
      </c>
      <c r="G928">
        <f>Clothing!P52</f>
        <v>1</v>
      </c>
      <c r="H928">
        <f>Clothing!Q52</f>
        <v>2</v>
      </c>
      <c r="I928">
        <f>Clothing!R52</f>
        <v>2</v>
      </c>
      <c r="J928">
        <f>Clothing!S52</f>
        <v>2</v>
      </c>
      <c r="K928">
        <f t="shared" si="15"/>
        <v>0.37356464144298934</v>
      </c>
    </row>
    <row r="929" spans="1:11">
      <c r="A929" t="s">
        <v>2039</v>
      </c>
      <c r="B929">
        <f>Clothing!B53</f>
        <v>2015</v>
      </c>
      <c r="C929" t="str">
        <f>Clothing!C53</f>
        <v>PVC</v>
      </c>
      <c r="D929">
        <f>Clothing!L53</f>
        <v>2.3418034896275119</v>
      </c>
      <c r="E929" t="s">
        <v>2041</v>
      </c>
      <c r="F929">
        <f>Clothing!O53</f>
        <v>1</v>
      </c>
      <c r="G929">
        <f>Clothing!P53</f>
        <v>1</v>
      </c>
      <c r="H929">
        <f>Clothing!Q53</f>
        <v>2</v>
      </c>
      <c r="I929">
        <f>Clothing!R53</f>
        <v>2</v>
      </c>
      <c r="J929">
        <f>Clothing!S53</f>
        <v>2</v>
      </c>
      <c r="K929">
        <f t="shared" si="15"/>
        <v>0.37356464144298934</v>
      </c>
    </row>
    <row r="930" spans="1:11">
      <c r="A930" t="s">
        <v>2039</v>
      </c>
      <c r="B930">
        <f>Clothing!B54</f>
        <v>2015</v>
      </c>
      <c r="C930" t="str">
        <f>Clothing!C54</f>
        <v>RUBBER</v>
      </c>
      <c r="D930">
        <f>Clothing!L54</f>
        <v>3.1133065175132435</v>
      </c>
      <c r="E930" t="s">
        <v>2041</v>
      </c>
      <c r="F930">
        <f>Clothing!O54</f>
        <v>1</v>
      </c>
      <c r="G930">
        <f>Clothing!P54</f>
        <v>1</v>
      </c>
      <c r="H930">
        <f>Clothing!Q54</f>
        <v>2</v>
      </c>
      <c r="I930">
        <f>Clothing!R54</f>
        <v>2</v>
      </c>
      <c r="J930">
        <f>Clothing!S54</f>
        <v>2</v>
      </c>
      <c r="K930">
        <f t="shared" si="15"/>
        <v>0.37356464144298934</v>
      </c>
    </row>
    <row r="931" spans="1:11">
      <c r="A931" t="s">
        <v>2039</v>
      </c>
      <c r="B931">
        <f>Clothing!B55</f>
        <v>2016</v>
      </c>
      <c r="C931" t="str">
        <f>Clothing!C55</f>
        <v>Acryl</v>
      </c>
      <c r="D931">
        <f>Clothing!L55</f>
        <v>2.0756254179823288</v>
      </c>
      <c r="E931" t="s">
        <v>2041</v>
      </c>
      <c r="F931">
        <f>Clothing!O55</f>
        <v>1</v>
      </c>
      <c r="G931">
        <f>Clothing!P55</f>
        <v>1</v>
      </c>
      <c r="H931">
        <f>Clothing!Q55</f>
        <v>2</v>
      </c>
      <c r="I931">
        <f>Clothing!R55</f>
        <v>2</v>
      </c>
      <c r="J931">
        <f>Clothing!S55</f>
        <v>2</v>
      </c>
      <c r="K931">
        <f t="shared" si="15"/>
        <v>0.37356464144298934</v>
      </c>
    </row>
    <row r="932" spans="1:11">
      <c r="A932" t="s">
        <v>2039</v>
      </c>
      <c r="B932">
        <f>Clothing!B56</f>
        <v>2016</v>
      </c>
      <c r="C932" t="str">
        <f>Clothing!C56</f>
        <v>OTHER</v>
      </c>
      <c r="D932">
        <f>Clothing!L56</f>
        <v>3.1086310568631381</v>
      </c>
      <c r="E932" t="s">
        <v>2041</v>
      </c>
      <c r="F932">
        <f>Clothing!O56</f>
        <v>1</v>
      </c>
      <c r="G932">
        <f>Clothing!P56</f>
        <v>1</v>
      </c>
      <c r="H932">
        <f>Clothing!Q56</f>
        <v>2</v>
      </c>
      <c r="I932">
        <f>Clothing!R56</f>
        <v>2</v>
      </c>
      <c r="J932">
        <f>Clothing!S56</f>
        <v>2</v>
      </c>
      <c r="K932">
        <f t="shared" si="15"/>
        <v>0.37356464144298934</v>
      </c>
    </row>
    <row r="933" spans="1:11">
      <c r="A933" t="s">
        <v>2039</v>
      </c>
      <c r="B933">
        <f>Clothing!B57</f>
        <v>2016</v>
      </c>
      <c r="C933" t="str">
        <f>Clothing!C57</f>
        <v>PA</v>
      </c>
      <c r="D933">
        <f>Clothing!L57</f>
        <v>6.2211869565883644</v>
      </c>
      <c r="E933" t="s">
        <v>2041</v>
      </c>
      <c r="F933">
        <f>Clothing!O57</f>
        <v>1</v>
      </c>
      <c r="G933">
        <f>Clothing!P57</f>
        <v>1</v>
      </c>
      <c r="H933">
        <f>Clothing!Q57</f>
        <v>2</v>
      </c>
      <c r="I933">
        <f>Clothing!R57</f>
        <v>2</v>
      </c>
      <c r="J933">
        <f>Clothing!S57</f>
        <v>2</v>
      </c>
      <c r="K933">
        <f t="shared" si="15"/>
        <v>0.37356464144298934</v>
      </c>
    </row>
    <row r="934" spans="1:11">
      <c r="A934" t="s">
        <v>2039</v>
      </c>
      <c r="B934">
        <f>Clothing!B58</f>
        <v>2016</v>
      </c>
      <c r="C934" t="str">
        <f>Clothing!C58</f>
        <v>PET</v>
      </c>
      <c r="D934">
        <f>Clothing!L58</f>
        <v>21.849595415055806</v>
      </c>
      <c r="E934" t="s">
        <v>2041</v>
      </c>
      <c r="F934">
        <f>Clothing!O58</f>
        <v>1</v>
      </c>
      <c r="G934">
        <f>Clothing!P58</f>
        <v>1</v>
      </c>
      <c r="H934">
        <f>Clothing!Q58</f>
        <v>2</v>
      </c>
      <c r="I934">
        <f>Clothing!R58</f>
        <v>2</v>
      </c>
      <c r="J934">
        <f>Clothing!S58</f>
        <v>2</v>
      </c>
      <c r="K934">
        <f t="shared" si="15"/>
        <v>0.37356464144298934</v>
      </c>
    </row>
    <row r="935" spans="1:11">
      <c r="A935" t="s">
        <v>2039</v>
      </c>
      <c r="B935">
        <f>Clothing!B59</f>
        <v>2016</v>
      </c>
      <c r="C935" t="str">
        <f>Clothing!C59</f>
        <v>PUR</v>
      </c>
      <c r="D935">
        <f>Clothing!L59</f>
        <v>3.9222738825260484</v>
      </c>
      <c r="E935" t="s">
        <v>2041</v>
      </c>
      <c r="F935">
        <f>Clothing!O59</f>
        <v>1</v>
      </c>
      <c r="G935">
        <f>Clothing!P59</f>
        <v>1</v>
      </c>
      <c r="H935">
        <f>Clothing!Q59</f>
        <v>2</v>
      </c>
      <c r="I935">
        <f>Clothing!R59</f>
        <v>2</v>
      </c>
      <c r="J935">
        <f>Clothing!S59</f>
        <v>2</v>
      </c>
      <c r="K935">
        <f t="shared" si="15"/>
        <v>0.37356464144298934</v>
      </c>
    </row>
    <row r="936" spans="1:11">
      <c r="A936" t="s">
        <v>2039</v>
      </c>
      <c r="B936">
        <f>Clothing!B60</f>
        <v>2016</v>
      </c>
      <c r="C936" t="str">
        <f>Clothing!C60</f>
        <v>PVC</v>
      </c>
      <c r="D936">
        <f>Clothing!L60</f>
        <v>2.3734315844247984</v>
      </c>
      <c r="E936" t="s">
        <v>2041</v>
      </c>
      <c r="F936">
        <f>Clothing!O60</f>
        <v>1</v>
      </c>
      <c r="G936">
        <f>Clothing!P60</f>
        <v>1</v>
      </c>
      <c r="H936">
        <f>Clothing!Q60</f>
        <v>2</v>
      </c>
      <c r="I936">
        <f>Clothing!R60</f>
        <v>2</v>
      </c>
      <c r="J936">
        <f>Clothing!S60</f>
        <v>2</v>
      </c>
      <c r="K936">
        <f t="shared" si="15"/>
        <v>0.37356464144298934</v>
      </c>
    </row>
    <row r="937" spans="1:11">
      <c r="A937" t="s">
        <v>2039</v>
      </c>
      <c r="B937">
        <f>Clothing!B61</f>
        <v>2016</v>
      </c>
      <c r="C937" t="str">
        <f>Clothing!C61</f>
        <v>RUBBER</v>
      </c>
      <c r="D937">
        <f>Clothing!L61</f>
        <v>2.916798287515908</v>
      </c>
      <c r="E937" t="s">
        <v>2041</v>
      </c>
      <c r="F937">
        <f>Clothing!O61</f>
        <v>1</v>
      </c>
      <c r="G937">
        <f>Clothing!P61</f>
        <v>1</v>
      </c>
      <c r="H937">
        <f>Clothing!Q61</f>
        <v>2</v>
      </c>
      <c r="I937">
        <f>Clothing!R61</f>
        <v>2</v>
      </c>
      <c r="J937">
        <f>Clothing!S61</f>
        <v>2</v>
      </c>
      <c r="K937">
        <f t="shared" si="15"/>
        <v>0.37356464144298934</v>
      </c>
    </row>
    <row r="938" spans="1:11">
      <c r="A938" t="s">
        <v>2039</v>
      </c>
      <c r="B938">
        <f>Clothing!B62</f>
        <v>2017</v>
      </c>
      <c r="C938" t="str">
        <f>Clothing!C62</f>
        <v>Acryl</v>
      </c>
      <c r="D938">
        <f>Clothing!L62</f>
        <v>1.6470771137083835</v>
      </c>
      <c r="E938" t="s">
        <v>2041</v>
      </c>
      <c r="F938">
        <f>Clothing!O62</f>
        <v>1</v>
      </c>
      <c r="G938">
        <f>Clothing!P62</f>
        <v>1</v>
      </c>
      <c r="H938">
        <f>Clothing!Q62</f>
        <v>2</v>
      </c>
      <c r="I938">
        <f>Clothing!R62</f>
        <v>2</v>
      </c>
      <c r="J938">
        <f>Clothing!S62</f>
        <v>2</v>
      </c>
      <c r="K938">
        <f t="shared" si="15"/>
        <v>0.37356464144298934</v>
      </c>
    </row>
    <row r="939" spans="1:11">
      <c r="A939" t="s">
        <v>2039</v>
      </c>
      <c r="B939">
        <f>Clothing!B63</f>
        <v>2017</v>
      </c>
      <c r="C939" t="str">
        <f>Clothing!C63</f>
        <v>OTHER</v>
      </c>
      <c r="D939">
        <f>Clothing!L63</f>
        <v>2.5973053234392482</v>
      </c>
      <c r="E939" t="s">
        <v>2041</v>
      </c>
      <c r="F939">
        <f>Clothing!O63</f>
        <v>1</v>
      </c>
      <c r="G939">
        <f>Clothing!P63</f>
        <v>1</v>
      </c>
      <c r="H939">
        <f>Clothing!Q63</f>
        <v>2</v>
      </c>
      <c r="I939">
        <f>Clothing!R63</f>
        <v>2</v>
      </c>
      <c r="J939">
        <f>Clothing!S63</f>
        <v>2</v>
      </c>
      <c r="K939">
        <f t="shared" si="15"/>
        <v>0.37356464144298934</v>
      </c>
    </row>
    <row r="940" spans="1:11">
      <c r="A940" t="s">
        <v>2039</v>
      </c>
      <c r="B940">
        <f>Clothing!B64</f>
        <v>2017</v>
      </c>
      <c r="C940" t="str">
        <f>Clothing!C64</f>
        <v>PA</v>
      </c>
      <c r="D940">
        <f>Clothing!L64</f>
        <v>5.1101088132832597</v>
      </c>
      <c r="E940" t="s">
        <v>2041</v>
      </c>
      <c r="F940">
        <f>Clothing!O64</f>
        <v>1</v>
      </c>
      <c r="G940">
        <f>Clothing!P64</f>
        <v>1</v>
      </c>
      <c r="H940">
        <f>Clothing!Q64</f>
        <v>2</v>
      </c>
      <c r="I940">
        <f>Clothing!R64</f>
        <v>2</v>
      </c>
      <c r="J940">
        <f>Clothing!S64</f>
        <v>2</v>
      </c>
      <c r="K940">
        <f t="shared" si="15"/>
        <v>0.37356464144298934</v>
      </c>
    </row>
    <row r="941" spans="1:11">
      <c r="A941" t="s">
        <v>2039</v>
      </c>
      <c r="B941">
        <f>Clothing!B65</f>
        <v>2017</v>
      </c>
      <c r="C941" t="str">
        <f>Clothing!C65</f>
        <v>PET</v>
      </c>
      <c r="D941">
        <f>Clothing!L65</f>
        <v>17.534936329693842</v>
      </c>
      <c r="E941" t="s">
        <v>2041</v>
      </c>
      <c r="F941">
        <f>Clothing!O65</f>
        <v>1</v>
      </c>
      <c r="G941">
        <f>Clothing!P65</f>
        <v>1</v>
      </c>
      <c r="H941">
        <f>Clothing!Q65</f>
        <v>2</v>
      </c>
      <c r="I941">
        <f>Clothing!R65</f>
        <v>2</v>
      </c>
      <c r="J941">
        <f>Clothing!S65</f>
        <v>2</v>
      </c>
      <c r="K941">
        <f t="shared" si="15"/>
        <v>0.37356464144298934</v>
      </c>
    </row>
    <row r="942" spans="1:11">
      <c r="A942" t="s">
        <v>2039</v>
      </c>
      <c r="B942">
        <f>Clothing!B66</f>
        <v>2017</v>
      </c>
      <c r="C942" t="str">
        <f>Clothing!C66</f>
        <v>PUR</v>
      </c>
      <c r="D942">
        <f>Clothing!L66</f>
        <v>3.2919467289656539</v>
      </c>
      <c r="E942" t="s">
        <v>2041</v>
      </c>
      <c r="F942">
        <f>Clothing!O66</f>
        <v>1</v>
      </c>
      <c r="G942">
        <f>Clothing!P66</f>
        <v>1</v>
      </c>
      <c r="H942">
        <f>Clothing!Q66</f>
        <v>2</v>
      </c>
      <c r="I942">
        <f>Clothing!R66</f>
        <v>2</v>
      </c>
      <c r="J942">
        <f>Clothing!S66</f>
        <v>2</v>
      </c>
      <c r="K942">
        <f t="shared" si="15"/>
        <v>0.37356464144298934</v>
      </c>
    </row>
    <row r="943" spans="1:11">
      <c r="A943" t="s">
        <v>2039</v>
      </c>
      <c r="B943">
        <f>Clothing!B67</f>
        <v>2017</v>
      </c>
      <c r="C943" t="str">
        <f>Clothing!C67</f>
        <v>PVC</v>
      </c>
      <c r="D943">
        <f>Clothing!L67</f>
        <v>2.0010546708869303</v>
      </c>
      <c r="E943" t="s">
        <v>2041</v>
      </c>
      <c r="F943">
        <f>Clothing!O67</f>
        <v>1</v>
      </c>
      <c r="G943">
        <f>Clothing!P67</f>
        <v>1</v>
      </c>
      <c r="H943">
        <f>Clothing!Q67</f>
        <v>2</v>
      </c>
      <c r="I943">
        <f>Clothing!R67</f>
        <v>2</v>
      </c>
      <c r="J943">
        <f>Clothing!S67</f>
        <v>2</v>
      </c>
      <c r="K943">
        <f t="shared" si="15"/>
        <v>0.37356464144298934</v>
      </c>
    </row>
    <row r="944" spans="1:11">
      <c r="A944" t="s">
        <v>2039</v>
      </c>
      <c r="B944">
        <f>Clothing!B68</f>
        <v>2017</v>
      </c>
      <c r="C944" t="str">
        <f>Clothing!C68</f>
        <v>RUBBER</v>
      </c>
      <c r="D944">
        <f>Clothing!L68</f>
        <v>2.5347333930315963</v>
      </c>
      <c r="E944" t="s">
        <v>2041</v>
      </c>
      <c r="F944">
        <f>Clothing!O68</f>
        <v>1</v>
      </c>
      <c r="G944">
        <f>Clothing!P68</f>
        <v>1</v>
      </c>
      <c r="H944">
        <f>Clothing!Q68</f>
        <v>2</v>
      </c>
      <c r="I944">
        <f>Clothing!R68</f>
        <v>2</v>
      </c>
      <c r="J944">
        <f>Clothing!S68</f>
        <v>2</v>
      </c>
      <c r="K944">
        <f t="shared" si="15"/>
        <v>0.37356464144298934</v>
      </c>
    </row>
    <row r="945" spans="1:11">
      <c r="A945" t="s">
        <v>2039</v>
      </c>
      <c r="B945">
        <f>Clothing!B69</f>
        <v>2018</v>
      </c>
      <c r="C945" t="str">
        <f>Clothing!C69</f>
        <v>Acryl</v>
      </c>
      <c r="D945">
        <f>Clothing!L69</f>
        <v>1.846440849244946</v>
      </c>
      <c r="E945" t="s">
        <v>2041</v>
      </c>
      <c r="F945">
        <f>Clothing!O69</f>
        <v>1</v>
      </c>
      <c r="G945">
        <f>Clothing!P69</f>
        <v>1</v>
      </c>
      <c r="H945">
        <f>Clothing!Q69</f>
        <v>2</v>
      </c>
      <c r="I945">
        <f>Clothing!R69</f>
        <v>2</v>
      </c>
      <c r="J945">
        <f>Clothing!S69</f>
        <v>2</v>
      </c>
      <c r="K945">
        <f t="shared" si="15"/>
        <v>0.37356464144298934</v>
      </c>
    </row>
    <row r="946" spans="1:11">
      <c r="A946" t="s">
        <v>2039</v>
      </c>
      <c r="B946">
        <f>Clothing!B70</f>
        <v>2018</v>
      </c>
      <c r="C946" t="str">
        <f>Clothing!C70</f>
        <v>OTHER</v>
      </c>
      <c r="D946">
        <f>Clothing!L70</f>
        <v>3.4328577922491834</v>
      </c>
      <c r="E946" t="s">
        <v>2041</v>
      </c>
      <c r="F946">
        <f>Clothing!O70</f>
        <v>1</v>
      </c>
      <c r="G946">
        <f>Clothing!P70</f>
        <v>1</v>
      </c>
      <c r="H946">
        <f>Clothing!Q70</f>
        <v>2</v>
      </c>
      <c r="I946">
        <f>Clothing!R70</f>
        <v>2</v>
      </c>
      <c r="J946">
        <f>Clothing!S70</f>
        <v>2</v>
      </c>
      <c r="K946">
        <f t="shared" si="15"/>
        <v>0.37356464144298934</v>
      </c>
    </row>
    <row r="947" spans="1:11">
      <c r="A947" t="s">
        <v>2039</v>
      </c>
      <c r="B947">
        <f>Clothing!B71</f>
        <v>2018</v>
      </c>
      <c r="C947" t="str">
        <f>Clothing!C71</f>
        <v>PA</v>
      </c>
      <c r="D947">
        <f>Clothing!L71</f>
        <v>5.9189541346003258</v>
      </c>
      <c r="E947" t="s">
        <v>2041</v>
      </c>
      <c r="F947">
        <f>Clothing!O71</f>
        <v>1</v>
      </c>
      <c r="G947">
        <f>Clothing!P71</f>
        <v>1</v>
      </c>
      <c r="H947">
        <f>Clothing!Q71</f>
        <v>2</v>
      </c>
      <c r="I947">
        <f>Clothing!R71</f>
        <v>2</v>
      </c>
      <c r="J947">
        <f>Clothing!S71</f>
        <v>2</v>
      </c>
      <c r="K947">
        <f t="shared" si="15"/>
        <v>0.37356464144298934</v>
      </c>
    </row>
    <row r="948" spans="1:11">
      <c r="A948" t="s">
        <v>2039</v>
      </c>
      <c r="B948">
        <f>Clothing!B72</f>
        <v>2018</v>
      </c>
      <c r="C948" t="str">
        <f>Clothing!C72</f>
        <v>PET</v>
      </c>
      <c r="D948">
        <f>Clothing!L72</f>
        <v>21.728431820681543</v>
      </c>
      <c r="E948" t="s">
        <v>2041</v>
      </c>
      <c r="F948">
        <f>Clothing!O72</f>
        <v>1</v>
      </c>
      <c r="G948">
        <f>Clothing!P72</f>
        <v>1</v>
      </c>
      <c r="H948">
        <f>Clothing!Q72</f>
        <v>2</v>
      </c>
      <c r="I948">
        <f>Clothing!R72</f>
        <v>2</v>
      </c>
      <c r="J948">
        <f>Clothing!S72</f>
        <v>2</v>
      </c>
      <c r="K948">
        <f t="shared" si="15"/>
        <v>0.37356464144298934</v>
      </c>
    </row>
    <row r="949" spans="1:11">
      <c r="A949" t="s">
        <v>2039</v>
      </c>
      <c r="B949">
        <f>Clothing!B73</f>
        <v>2018</v>
      </c>
      <c r="C949" t="str">
        <f>Clothing!C73</f>
        <v>PUR</v>
      </c>
      <c r="D949">
        <f>Clothing!L73</f>
        <v>3.4274464909517084</v>
      </c>
      <c r="E949" t="s">
        <v>2041</v>
      </c>
      <c r="F949">
        <f>Clothing!O73</f>
        <v>1</v>
      </c>
      <c r="G949">
        <f>Clothing!P73</f>
        <v>1</v>
      </c>
      <c r="H949">
        <f>Clothing!Q73</f>
        <v>2</v>
      </c>
      <c r="I949">
        <f>Clothing!R73</f>
        <v>2</v>
      </c>
      <c r="J949">
        <f>Clothing!S73</f>
        <v>2</v>
      </c>
      <c r="K949">
        <f t="shared" si="15"/>
        <v>0.37356464144298934</v>
      </c>
    </row>
    <row r="950" spans="1:11">
      <c r="A950" t="s">
        <v>2039</v>
      </c>
      <c r="B950">
        <f>Clothing!B74</f>
        <v>2018</v>
      </c>
      <c r="C950" t="str">
        <f>Clothing!C74</f>
        <v>PVC</v>
      </c>
      <c r="D950">
        <f>Clothing!L74</f>
        <v>2.1086576764304308</v>
      </c>
      <c r="E950" t="s">
        <v>2041</v>
      </c>
      <c r="F950">
        <f>Clothing!O74</f>
        <v>1</v>
      </c>
      <c r="G950">
        <f>Clothing!P74</f>
        <v>1</v>
      </c>
      <c r="H950">
        <f>Clothing!Q74</f>
        <v>2</v>
      </c>
      <c r="I950">
        <f>Clothing!R74</f>
        <v>2</v>
      </c>
      <c r="J950">
        <f>Clothing!S74</f>
        <v>2</v>
      </c>
      <c r="K950">
        <f t="shared" si="15"/>
        <v>0.37356464144298934</v>
      </c>
    </row>
    <row r="951" spans="1:11">
      <c r="A951" t="s">
        <v>2039</v>
      </c>
      <c r="B951">
        <f>Clothing!B75</f>
        <v>2018</v>
      </c>
      <c r="C951" t="str">
        <f>Clothing!C75</f>
        <v>RUBBER</v>
      </c>
      <c r="D951">
        <f>Clothing!L75</f>
        <v>3.1009013817684576</v>
      </c>
      <c r="E951" t="s">
        <v>2041</v>
      </c>
      <c r="F951">
        <f>Clothing!O75</f>
        <v>1</v>
      </c>
      <c r="G951">
        <f>Clothing!P75</f>
        <v>1</v>
      </c>
      <c r="H951">
        <f>Clothing!Q75</f>
        <v>2</v>
      </c>
      <c r="I951">
        <f>Clothing!R75</f>
        <v>2</v>
      </c>
      <c r="J951">
        <f>Clothing!S75</f>
        <v>2</v>
      </c>
      <c r="K951">
        <f t="shared" si="15"/>
        <v>0.37356464144298934</v>
      </c>
    </row>
    <row r="952" spans="1:11">
      <c r="A952" t="s">
        <v>2039</v>
      </c>
      <c r="B952">
        <f>Clothing!B76</f>
        <v>2019</v>
      </c>
      <c r="C952" t="str">
        <f>Clothing!C76</f>
        <v>Acryl</v>
      </c>
      <c r="D952">
        <f>Clothing!L76</f>
        <v>1.6436091730165416</v>
      </c>
      <c r="E952" t="s">
        <v>2041</v>
      </c>
      <c r="F952">
        <f>Clothing!O76</f>
        <v>1</v>
      </c>
      <c r="G952">
        <f>Clothing!P76</f>
        <v>1</v>
      </c>
      <c r="H952">
        <f>Clothing!Q76</f>
        <v>2</v>
      </c>
      <c r="I952">
        <f>Clothing!R76</f>
        <v>2</v>
      </c>
      <c r="J952">
        <f>Clothing!S76</f>
        <v>2</v>
      </c>
      <c r="K952">
        <f t="shared" si="15"/>
        <v>0.37356464144298934</v>
      </c>
    </row>
    <row r="953" spans="1:11">
      <c r="A953" t="s">
        <v>2039</v>
      </c>
      <c r="B953">
        <f>Clothing!B77</f>
        <v>2019</v>
      </c>
      <c r="C953" t="str">
        <f>Clothing!C77</f>
        <v>OTHER</v>
      </c>
      <c r="D953">
        <f>Clothing!L77</f>
        <v>2.8301534825878161</v>
      </c>
      <c r="E953" t="s">
        <v>2041</v>
      </c>
      <c r="F953">
        <f>Clothing!O77</f>
        <v>1</v>
      </c>
      <c r="G953">
        <f>Clothing!P77</f>
        <v>1</v>
      </c>
      <c r="H953">
        <f>Clothing!Q77</f>
        <v>2</v>
      </c>
      <c r="I953">
        <f>Clothing!R77</f>
        <v>2</v>
      </c>
      <c r="J953">
        <f>Clothing!S77</f>
        <v>2</v>
      </c>
      <c r="K953">
        <f t="shared" si="15"/>
        <v>0.37356464144298934</v>
      </c>
    </row>
    <row r="954" spans="1:11">
      <c r="A954" t="s">
        <v>2039</v>
      </c>
      <c r="B954">
        <f>Clothing!B78</f>
        <v>2019</v>
      </c>
      <c r="C954" t="str">
        <f>Clothing!C78</f>
        <v>PA</v>
      </c>
      <c r="D954">
        <f>Clothing!L78</f>
        <v>4.9104476441319109</v>
      </c>
      <c r="E954" t="s">
        <v>2041</v>
      </c>
      <c r="F954">
        <f>Clothing!O78</f>
        <v>1</v>
      </c>
      <c r="G954">
        <f>Clothing!P78</f>
        <v>1</v>
      </c>
      <c r="H954">
        <f>Clothing!Q78</f>
        <v>2</v>
      </c>
      <c r="I954">
        <f>Clothing!R78</f>
        <v>2</v>
      </c>
      <c r="J954">
        <f>Clothing!S78</f>
        <v>2</v>
      </c>
      <c r="K954">
        <f t="shared" si="15"/>
        <v>0.37356464144298934</v>
      </c>
    </row>
    <row r="955" spans="1:11">
      <c r="A955" t="s">
        <v>2039</v>
      </c>
      <c r="B955">
        <f>Clothing!B79</f>
        <v>2019</v>
      </c>
      <c r="C955" t="str">
        <f>Clothing!C79</f>
        <v>PET</v>
      </c>
      <c r="D955">
        <f>Clothing!L79</f>
        <v>17.484311479412597</v>
      </c>
      <c r="E955" t="s">
        <v>2041</v>
      </c>
      <c r="F955">
        <f>Clothing!O79</f>
        <v>1</v>
      </c>
      <c r="G955">
        <f>Clothing!P79</f>
        <v>1</v>
      </c>
      <c r="H955">
        <f>Clothing!Q79</f>
        <v>2</v>
      </c>
      <c r="I955">
        <f>Clothing!R79</f>
        <v>2</v>
      </c>
      <c r="J955">
        <f>Clothing!S79</f>
        <v>2</v>
      </c>
      <c r="K955">
        <f t="shared" si="15"/>
        <v>0.37356464144298934</v>
      </c>
    </row>
    <row r="956" spans="1:11">
      <c r="A956" t="s">
        <v>2039</v>
      </c>
      <c r="B956">
        <f>Clothing!B80</f>
        <v>2019</v>
      </c>
      <c r="C956" t="str">
        <f>Clothing!C80</f>
        <v>PUR</v>
      </c>
      <c r="D956">
        <f>Clothing!L80</f>
        <v>3.0640391435413621</v>
      </c>
      <c r="E956" t="s">
        <v>2041</v>
      </c>
      <c r="F956">
        <f>Clothing!O80</f>
        <v>1</v>
      </c>
      <c r="G956">
        <f>Clothing!P80</f>
        <v>1</v>
      </c>
      <c r="H956">
        <f>Clothing!Q80</f>
        <v>2</v>
      </c>
      <c r="I956">
        <f>Clothing!R80</f>
        <v>2</v>
      </c>
      <c r="J956">
        <f>Clothing!S80</f>
        <v>2</v>
      </c>
      <c r="K956">
        <f t="shared" si="15"/>
        <v>0.37356464144298934</v>
      </c>
    </row>
    <row r="957" spans="1:11">
      <c r="A957" t="s">
        <v>2039</v>
      </c>
      <c r="B957">
        <f>Clothing!B81</f>
        <v>2019</v>
      </c>
      <c r="C957" t="str">
        <f>Clothing!C81</f>
        <v>PVC</v>
      </c>
      <c r="D957">
        <f>Clothing!L81</f>
        <v>1.8614049237456476</v>
      </c>
      <c r="E957" t="s">
        <v>2041</v>
      </c>
      <c r="F957">
        <f>Clothing!O81</f>
        <v>1</v>
      </c>
      <c r="G957">
        <f>Clothing!P81</f>
        <v>1</v>
      </c>
      <c r="H957">
        <f>Clothing!Q81</f>
        <v>2</v>
      </c>
      <c r="I957">
        <f>Clothing!R81</f>
        <v>2</v>
      </c>
      <c r="J957">
        <f>Clothing!S81</f>
        <v>2</v>
      </c>
      <c r="K957">
        <f t="shared" ref="K957:K1020" si="16">IF( OR( ISBLANK(F957),ISBLANK(G957), ISBLANK(H957), ISBLANK(I957), ISBLANK(J957) ), "", 1.5*SQRT(   EXP(2.21*(F957-1)) + EXP(2.21*(G957-1)) + EXP(2.21*(H957-1)) + EXP(2.21*(I957-1)) + EXP(2.21*J957)   )/100*2.45 )</f>
        <v>0.37356464144298934</v>
      </c>
    </row>
    <row r="958" spans="1:11">
      <c r="A958" t="s">
        <v>2039</v>
      </c>
      <c r="B958">
        <f>Clothing!B82</f>
        <v>2019</v>
      </c>
      <c r="C958" t="str">
        <f>Clothing!C82</f>
        <v>RUBBER</v>
      </c>
      <c r="D958">
        <f>Clothing!L82</f>
        <v>2.4290178286122566</v>
      </c>
      <c r="E958" t="s">
        <v>2041</v>
      </c>
      <c r="F958">
        <f>Clothing!O82</f>
        <v>1</v>
      </c>
      <c r="G958">
        <f>Clothing!P82</f>
        <v>1</v>
      </c>
      <c r="H958">
        <f>Clothing!Q82</f>
        <v>2</v>
      </c>
      <c r="I958">
        <f>Clothing!R82</f>
        <v>2</v>
      </c>
      <c r="J958">
        <f>Clothing!S82</f>
        <v>2</v>
      </c>
      <c r="K958">
        <f t="shared" si="16"/>
        <v>0.37356464144298934</v>
      </c>
    </row>
    <row r="959" spans="1:11">
      <c r="A959" t="s">
        <v>2039</v>
      </c>
      <c r="B959">
        <f>Clothing!B83</f>
        <v>2020</v>
      </c>
      <c r="C959" t="str">
        <f>Clothing!C83</f>
        <v>Acryl</v>
      </c>
      <c r="D959">
        <f>Clothing!L83</f>
        <v>0.70716061809315345</v>
      </c>
      <c r="E959" t="s">
        <v>2041</v>
      </c>
      <c r="F959">
        <f>Clothing!O83</f>
        <v>1</v>
      </c>
      <c r="G959">
        <f>Clothing!P83</f>
        <v>1</v>
      </c>
      <c r="H959">
        <f>Clothing!Q83</f>
        <v>2</v>
      </c>
      <c r="I959">
        <f>Clothing!R83</f>
        <v>2</v>
      </c>
      <c r="J959">
        <f>Clothing!S83</f>
        <v>2</v>
      </c>
      <c r="K959">
        <f t="shared" si="16"/>
        <v>0.37356464144298934</v>
      </c>
    </row>
    <row r="960" spans="1:11">
      <c r="A960" t="s">
        <v>2039</v>
      </c>
      <c r="B960">
        <f>Clothing!B84</f>
        <v>2020</v>
      </c>
      <c r="C960" t="str">
        <f>Clothing!C84</f>
        <v>OTHER</v>
      </c>
      <c r="D960">
        <f>Clothing!L84</f>
        <v>1.1006924741852226</v>
      </c>
      <c r="E960" t="s">
        <v>2041</v>
      </c>
      <c r="F960">
        <f>Clothing!O84</f>
        <v>1</v>
      </c>
      <c r="G960">
        <f>Clothing!P84</f>
        <v>1</v>
      </c>
      <c r="H960">
        <f>Clothing!Q84</f>
        <v>2</v>
      </c>
      <c r="I960">
        <f>Clothing!R84</f>
        <v>2</v>
      </c>
      <c r="J960">
        <f>Clothing!S84</f>
        <v>2</v>
      </c>
      <c r="K960">
        <f t="shared" si="16"/>
        <v>0.37356464144298934</v>
      </c>
    </row>
    <row r="961" spans="1:11">
      <c r="A961" t="s">
        <v>2039</v>
      </c>
      <c r="B961">
        <f>Clothing!B85</f>
        <v>2020</v>
      </c>
      <c r="C961" t="str">
        <f>Clothing!C85</f>
        <v>PA</v>
      </c>
      <c r="D961">
        <f>Clothing!L85</f>
        <v>1.9658588814603468</v>
      </c>
      <c r="E961" t="s">
        <v>2041</v>
      </c>
      <c r="F961">
        <f>Clothing!O85</f>
        <v>1</v>
      </c>
      <c r="G961">
        <f>Clothing!P85</f>
        <v>1</v>
      </c>
      <c r="H961">
        <f>Clothing!Q85</f>
        <v>2</v>
      </c>
      <c r="I961">
        <f>Clothing!R85</f>
        <v>2</v>
      </c>
      <c r="J961">
        <f>Clothing!S85</f>
        <v>2</v>
      </c>
      <c r="K961">
        <f t="shared" si="16"/>
        <v>0.37356464144298934</v>
      </c>
    </row>
    <row r="962" spans="1:11">
      <c r="A962" t="s">
        <v>2039</v>
      </c>
      <c r="B962">
        <f>Clothing!B86</f>
        <v>2020</v>
      </c>
      <c r="C962" t="str">
        <f>Clothing!C86</f>
        <v>PET</v>
      </c>
      <c r="D962">
        <f>Clothing!L86</f>
        <v>6.4103570701324895</v>
      </c>
      <c r="E962" t="s">
        <v>2041</v>
      </c>
      <c r="F962">
        <f>Clothing!O86</f>
        <v>1</v>
      </c>
      <c r="G962">
        <f>Clothing!P86</f>
        <v>1</v>
      </c>
      <c r="H962">
        <f>Clothing!Q86</f>
        <v>2</v>
      </c>
      <c r="I962">
        <f>Clothing!R86</f>
        <v>2</v>
      </c>
      <c r="J962">
        <f>Clothing!S86</f>
        <v>2</v>
      </c>
      <c r="K962">
        <f t="shared" si="16"/>
        <v>0.37356464144298934</v>
      </c>
    </row>
    <row r="963" spans="1:11">
      <c r="A963" t="s">
        <v>2039</v>
      </c>
      <c r="B963">
        <f>Clothing!B87</f>
        <v>2020</v>
      </c>
      <c r="C963" t="str">
        <f>Clothing!C87</f>
        <v>PUR</v>
      </c>
      <c r="D963">
        <f>Clothing!L87</f>
        <v>2.1001091367267568</v>
      </c>
      <c r="E963" t="s">
        <v>2041</v>
      </c>
      <c r="F963">
        <f>Clothing!O87</f>
        <v>1</v>
      </c>
      <c r="G963">
        <f>Clothing!P87</f>
        <v>1</v>
      </c>
      <c r="H963">
        <f>Clothing!Q87</f>
        <v>2</v>
      </c>
      <c r="I963">
        <f>Clothing!R87</f>
        <v>2</v>
      </c>
      <c r="J963">
        <f>Clothing!S87</f>
        <v>2</v>
      </c>
      <c r="K963">
        <f t="shared" si="16"/>
        <v>0.37356464144298934</v>
      </c>
    </row>
    <row r="964" spans="1:11">
      <c r="A964" t="s">
        <v>2039</v>
      </c>
      <c r="B964">
        <f>Clothing!B88</f>
        <v>2020</v>
      </c>
      <c r="C964" t="str">
        <f>Clothing!C88</f>
        <v>PVC</v>
      </c>
      <c r="D964">
        <f>Clothing!L88</f>
        <v>1.2476611725395528</v>
      </c>
      <c r="E964" t="s">
        <v>2041</v>
      </c>
      <c r="F964">
        <f>Clothing!O88</f>
        <v>1</v>
      </c>
      <c r="G964">
        <f>Clothing!P88</f>
        <v>1</v>
      </c>
      <c r="H964">
        <f>Clothing!Q88</f>
        <v>2</v>
      </c>
      <c r="I964">
        <f>Clothing!R88</f>
        <v>2</v>
      </c>
      <c r="J964">
        <f>Clothing!S88</f>
        <v>2</v>
      </c>
      <c r="K964">
        <f t="shared" si="16"/>
        <v>0.37356464144298934</v>
      </c>
    </row>
    <row r="965" spans="1:11">
      <c r="A965" t="s">
        <v>2039</v>
      </c>
      <c r="B965">
        <f>Clothing!B89</f>
        <v>2020</v>
      </c>
      <c r="C965" t="str">
        <f>Clothing!C89</f>
        <v>RUBBER</v>
      </c>
      <c r="D965">
        <f>Clothing!L89</f>
        <v>1.3933495405330014</v>
      </c>
      <c r="E965" t="s">
        <v>2041</v>
      </c>
      <c r="F965">
        <f>Clothing!O89</f>
        <v>1</v>
      </c>
      <c r="G965">
        <f>Clothing!P89</f>
        <v>1</v>
      </c>
      <c r="H965">
        <f>Clothing!Q89</f>
        <v>2</v>
      </c>
      <c r="I965">
        <f>Clothing!R89</f>
        <v>2</v>
      </c>
      <c r="J965">
        <f>Clothing!S89</f>
        <v>2</v>
      </c>
      <c r="K965">
        <f t="shared" si="16"/>
        <v>0.37356464144298934</v>
      </c>
    </row>
    <row r="966" spans="1:11">
      <c r="A966" t="s">
        <v>2039</v>
      </c>
      <c r="B966">
        <f>Clothing!B90</f>
        <v>2021</v>
      </c>
      <c r="C966" t="str">
        <f>Clothing!C90</f>
        <v>Acryl</v>
      </c>
      <c r="D966">
        <f>Clothing!L90</f>
        <v>0.80078134640795662</v>
      </c>
      <c r="E966" t="s">
        <v>2041</v>
      </c>
      <c r="F966">
        <f>Clothing!O90</f>
        <v>1</v>
      </c>
      <c r="G966">
        <f>Clothing!P90</f>
        <v>1</v>
      </c>
      <c r="H966">
        <f>Clothing!Q90</f>
        <v>2</v>
      </c>
      <c r="I966">
        <f>Clothing!R90</f>
        <v>2</v>
      </c>
      <c r="J966">
        <f>Clothing!S90</f>
        <v>2</v>
      </c>
      <c r="K966">
        <f t="shared" si="16"/>
        <v>0.37356464144298934</v>
      </c>
    </row>
    <row r="967" spans="1:11">
      <c r="A967" t="s">
        <v>2039</v>
      </c>
      <c r="B967">
        <f>Clothing!B91</f>
        <v>2021</v>
      </c>
      <c r="C967" t="str">
        <f>Clothing!C91</f>
        <v>OTHER</v>
      </c>
      <c r="D967">
        <f>Clothing!L91</f>
        <v>1.1322762250677216</v>
      </c>
      <c r="E967" t="s">
        <v>2041</v>
      </c>
      <c r="F967">
        <f>Clothing!O91</f>
        <v>1</v>
      </c>
      <c r="G967">
        <f>Clothing!P91</f>
        <v>1</v>
      </c>
      <c r="H967">
        <f>Clothing!Q91</f>
        <v>2</v>
      </c>
      <c r="I967">
        <f>Clothing!R91</f>
        <v>2</v>
      </c>
      <c r="J967">
        <f>Clothing!S91</f>
        <v>2</v>
      </c>
      <c r="K967">
        <f t="shared" si="16"/>
        <v>0.37356464144298934</v>
      </c>
    </row>
    <row r="968" spans="1:11">
      <c r="A968" t="s">
        <v>2039</v>
      </c>
      <c r="B968">
        <f>Clothing!B92</f>
        <v>2021</v>
      </c>
      <c r="C968" t="str">
        <f>Clothing!C92</f>
        <v>PA</v>
      </c>
      <c r="D968">
        <f>Clothing!L92</f>
        <v>1.8292857485448264</v>
      </c>
      <c r="E968" t="s">
        <v>2041</v>
      </c>
      <c r="F968">
        <f>Clothing!O92</f>
        <v>1</v>
      </c>
      <c r="G968">
        <f>Clothing!P92</f>
        <v>1</v>
      </c>
      <c r="H968">
        <f>Clothing!Q92</f>
        <v>2</v>
      </c>
      <c r="I968">
        <f>Clothing!R92</f>
        <v>2</v>
      </c>
      <c r="J968">
        <f>Clothing!S92</f>
        <v>2</v>
      </c>
      <c r="K968">
        <f t="shared" si="16"/>
        <v>0.37356464144298934</v>
      </c>
    </row>
    <row r="969" spans="1:11">
      <c r="A969" t="s">
        <v>2039</v>
      </c>
      <c r="B969">
        <f>Clothing!B93</f>
        <v>2021</v>
      </c>
      <c r="C969" t="str">
        <f>Clothing!C93</f>
        <v>PET</v>
      </c>
      <c r="D969">
        <f>Clothing!L93</f>
        <v>7.0487844128947756</v>
      </c>
      <c r="E969" t="s">
        <v>2041</v>
      </c>
      <c r="F969">
        <f>Clothing!O93</f>
        <v>1</v>
      </c>
      <c r="G969">
        <f>Clothing!P93</f>
        <v>1</v>
      </c>
      <c r="H969">
        <f>Clothing!Q93</f>
        <v>2</v>
      </c>
      <c r="I969">
        <f>Clothing!R93</f>
        <v>2</v>
      </c>
      <c r="J969">
        <f>Clothing!S93</f>
        <v>2</v>
      </c>
      <c r="K969">
        <f t="shared" si="16"/>
        <v>0.37356464144298934</v>
      </c>
    </row>
    <row r="970" spans="1:11">
      <c r="A970" t="s">
        <v>2039</v>
      </c>
      <c r="B970">
        <f>Clothing!B94</f>
        <v>2021</v>
      </c>
      <c r="C970" t="str">
        <f>Clothing!C94</f>
        <v>PUR</v>
      </c>
      <c r="D970">
        <f>Clothing!L94</f>
        <v>2.6515291848820519</v>
      </c>
      <c r="E970" t="s">
        <v>2041</v>
      </c>
      <c r="F970">
        <f>Clothing!O94</f>
        <v>1</v>
      </c>
      <c r="G970">
        <f>Clothing!P94</f>
        <v>1</v>
      </c>
      <c r="H970">
        <f>Clothing!Q94</f>
        <v>2</v>
      </c>
      <c r="I970">
        <f>Clothing!R94</f>
        <v>2</v>
      </c>
      <c r="J970">
        <f>Clothing!S94</f>
        <v>2</v>
      </c>
      <c r="K970">
        <f t="shared" si="16"/>
        <v>0.37356464144298934</v>
      </c>
    </row>
    <row r="971" spans="1:11">
      <c r="A971" t="s">
        <v>2039</v>
      </c>
      <c r="B971">
        <f>Clothing!B95</f>
        <v>2021</v>
      </c>
      <c r="C971" t="str">
        <f>Clothing!C95</f>
        <v>PVC</v>
      </c>
      <c r="D971">
        <f>Clothing!L95</f>
        <v>1.5796947619426569</v>
      </c>
      <c r="E971" t="s">
        <v>2041</v>
      </c>
      <c r="F971">
        <f>Clothing!O95</f>
        <v>1</v>
      </c>
      <c r="G971">
        <f>Clothing!P95</f>
        <v>1</v>
      </c>
      <c r="H971">
        <f>Clothing!Q95</f>
        <v>2</v>
      </c>
      <c r="I971">
        <f>Clothing!R95</f>
        <v>2</v>
      </c>
      <c r="J971">
        <f>Clothing!S95</f>
        <v>2</v>
      </c>
      <c r="K971">
        <f t="shared" si="16"/>
        <v>0.37356464144298934</v>
      </c>
    </row>
    <row r="972" spans="1:11">
      <c r="A972" t="s">
        <v>2039</v>
      </c>
      <c r="B972">
        <f>Clothing!B96</f>
        <v>2021</v>
      </c>
      <c r="C972" t="str">
        <f>Clothing!C96</f>
        <v>RUBBER</v>
      </c>
      <c r="D972">
        <f>Clothing!L96</f>
        <v>1.7943480186791894</v>
      </c>
      <c r="E972" t="s">
        <v>2041</v>
      </c>
      <c r="F972">
        <f>Clothing!O96</f>
        <v>1</v>
      </c>
      <c r="G972">
        <f>Clothing!P96</f>
        <v>1</v>
      </c>
      <c r="H972">
        <f>Clothing!Q96</f>
        <v>2</v>
      </c>
      <c r="I972">
        <f>Clothing!R96</f>
        <v>2</v>
      </c>
      <c r="J972">
        <f>Clothing!S96</f>
        <v>2</v>
      </c>
      <c r="K972">
        <f t="shared" si="16"/>
        <v>0.37356464144298934</v>
      </c>
    </row>
    <row r="973" spans="1:11">
      <c r="A973" t="s">
        <v>2039</v>
      </c>
      <c r="B973">
        <f>Clothing!B97</f>
        <v>2022</v>
      </c>
      <c r="C973" t="str">
        <f>Clothing!C97</f>
        <v>Acryl</v>
      </c>
      <c r="D973">
        <f>Clothing!L97</f>
        <v>1.2109271718661376</v>
      </c>
      <c r="E973" t="s">
        <v>2041</v>
      </c>
      <c r="F973">
        <f>Clothing!O97</f>
        <v>1</v>
      </c>
      <c r="G973">
        <f>Clothing!P97</f>
        <v>1</v>
      </c>
      <c r="H973">
        <f>Clothing!Q97</f>
        <v>2</v>
      </c>
      <c r="I973">
        <f>Clothing!R97</f>
        <v>2</v>
      </c>
      <c r="J973">
        <f>Clothing!S97</f>
        <v>2</v>
      </c>
      <c r="K973">
        <f t="shared" si="16"/>
        <v>0.37356464144298934</v>
      </c>
    </row>
    <row r="974" spans="1:11">
      <c r="A974" t="s">
        <v>2039</v>
      </c>
      <c r="B974">
        <f>Clothing!B98</f>
        <v>2022</v>
      </c>
      <c r="C974" t="str">
        <f>Clothing!C98</f>
        <v>OTHER</v>
      </c>
      <c r="D974">
        <f>Clothing!L98</f>
        <v>2.220849198134506</v>
      </c>
      <c r="E974" t="s">
        <v>2041</v>
      </c>
      <c r="F974">
        <f>Clothing!O98</f>
        <v>1</v>
      </c>
      <c r="G974">
        <f>Clothing!P98</f>
        <v>1</v>
      </c>
      <c r="H974">
        <f>Clothing!Q98</f>
        <v>2</v>
      </c>
      <c r="I974">
        <f>Clothing!R98</f>
        <v>2</v>
      </c>
      <c r="J974">
        <f>Clothing!S98</f>
        <v>2</v>
      </c>
      <c r="K974">
        <f t="shared" si="16"/>
        <v>0.37356464144298934</v>
      </c>
    </row>
    <row r="975" spans="1:11">
      <c r="A975" t="s">
        <v>2039</v>
      </c>
      <c r="B975">
        <f>Clothing!B99</f>
        <v>2022</v>
      </c>
      <c r="C975" t="str">
        <f>Clothing!C99</f>
        <v>PA</v>
      </c>
      <c r="D975">
        <f>Clothing!L99</f>
        <v>3.1698663379386165</v>
      </c>
      <c r="E975" t="s">
        <v>2041</v>
      </c>
      <c r="F975">
        <f>Clothing!O99</f>
        <v>1</v>
      </c>
      <c r="G975">
        <f>Clothing!P99</f>
        <v>1</v>
      </c>
      <c r="H975">
        <f>Clothing!Q99</f>
        <v>2</v>
      </c>
      <c r="I975">
        <f>Clothing!R99</f>
        <v>2</v>
      </c>
      <c r="J975">
        <f>Clothing!S99</f>
        <v>2</v>
      </c>
      <c r="K975">
        <f t="shared" si="16"/>
        <v>0.37356464144298934</v>
      </c>
    </row>
    <row r="976" spans="1:11">
      <c r="A976" t="s">
        <v>2039</v>
      </c>
      <c r="B976">
        <f>Clothing!B100</f>
        <v>2022</v>
      </c>
      <c r="C976" t="str">
        <f>Clothing!C100</f>
        <v>PET</v>
      </c>
      <c r="D976">
        <f>Clothing!L100</f>
        <v>11.432517850018003</v>
      </c>
      <c r="E976" t="s">
        <v>2041</v>
      </c>
      <c r="F976">
        <f>Clothing!O100</f>
        <v>1</v>
      </c>
      <c r="G976">
        <f>Clothing!P100</f>
        <v>1</v>
      </c>
      <c r="H976">
        <f>Clothing!Q100</f>
        <v>2</v>
      </c>
      <c r="I976">
        <f>Clothing!R100</f>
        <v>2</v>
      </c>
      <c r="J976">
        <f>Clothing!S100</f>
        <v>2</v>
      </c>
      <c r="K976">
        <f t="shared" si="16"/>
        <v>0.37356464144298934</v>
      </c>
    </row>
    <row r="977" spans="1:11">
      <c r="A977" t="s">
        <v>2039</v>
      </c>
      <c r="B977">
        <f>Clothing!B101</f>
        <v>2022</v>
      </c>
      <c r="C977" t="str">
        <f>Clothing!C101</f>
        <v>PUR</v>
      </c>
      <c r="D977">
        <f>Clothing!L101</f>
        <v>2.7225837495129941</v>
      </c>
      <c r="E977" t="s">
        <v>2041</v>
      </c>
      <c r="F977">
        <f>Clothing!O101</f>
        <v>1</v>
      </c>
      <c r="G977">
        <f>Clothing!P101</f>
        <v>1</v>
      </c>
      <c r="H977">
        <f>Clothing!Q101</f>
        <v>2</v>
      </c>
      <c r="I977">
        <f>Clothing!R101</f>
        <v>2</v>
      </c>
      <c r="J977">
        <f>Clothing!S101</f>
        <v>2</v>
      </c>
      <c r="K977">
        <f t="shared" si="16"/>
        <v>0.37356464144298934</v>
      </c>
    </row>
    <row r="978" spans="1:11">
      <c r="A978" t="s">
        <v>2039</v>
      </c>
      <c r="B978">
        <f>Clothing!B102</f>
        <v>2022</v>
      </c>
      <c r="C978" t="str">
        <f>Clothing!C102</f>
        <v>PVC</v>
      </c>
      <c r="D978">
        <f>Clothing!L102</f>
        <v>1.6640759979596416</v>
      </c>
      <c r="E978" t="s">
        <v>2041</v>
      </c>
      <c r="F978">
        <f>Clothing!O102</f>
        <v>1</v>
      </c>
      <c r="G978">
        <f>Clothing!P102</f>
        <v>1</v>
      </c>
      <c r="H978">
        <f>Clothing!Q102</f>
        <v>2</v>
      </c>
      <c r="I978">
        <f>Clothing!R102</f>
        <v>2</v>
      </c>
      <c r="J978">
        <f>Clothing!S102</f>
        <v>2</v>
      </c>
      <c r="K978">
        <f t="shared" si="16"/>
        <v>0.37356464144298934</v>
      </c>
    </row>
    <row r="979" spans="1:11">
      <c r="A979" t="s">
        <v>2039</v>
      </c>
      <c r="B979">
        <f>Clothing!B103</f>
        <v>2022</v>
      </c>
      <c r="C979" t="str">
        <f>Clothing!C103</f>
        <v>RUBBER</v>
      </c>
      <c r="D979">
        <f>Clothing!L103</f>
        <v>2.2474734772093696</v>
      </c>
      <c r="E979" t="s">
        <v>2041</v>
      </c>
      <c r="F979">
        <f>Clothing!O103</f>
        <v>1</v>
      </c>
      <c r="G979">
        <f>Clothing!P103</f>
        <v>1</v>
      </c>
      <c r="H979">
        <f>Clothing!Q103</f>
        <v>2</v>
      </c>
      <c r="I979">
        <f>Clothing!R103</f>
        <v>2</v>
      </c>
      <c r="J979">
        <f>Clothing!S103</f>
        <v>2</v>
      </c>
      <c r="K979">
        <f t="shared" si="16"/>
        <v>0.37356464144298934</v>
      </c>
    </row>
    <row r="980" spans="1:11">
      <c r="A980" t="s">
        <v>2042</v>
      </c>
      <c r="B980">
        <f>Clothing!B20</f>
        <v>2011</v>
      </c>
      <c r="C980" t="str">
        <f>Clothing!C20</f>
        <v>Acryl</v>
      </c>
      <c r="D980">
        <f>Clothing!M20</f>
        <v>8.0971786204278029</v>
      </c>
      <c r="E980" t="s">
        <v>2040</v>
      </c>
      <c r="F980">
        <f>Clothing!O20</f>
        <v>1</v>
      </c>
      <c r="G980">
        <f>Clothing!P20</f>
        <v>1</v>
      </c>
      <c r="H980">
        <f>Clothing!Q20</f>
        <v>2</v>
      </c>
      <c r="I980">
        <f>Clothing!R20</f>
        <v>2</v>
      </c>
      <c r="J980">
        <f>Clothing!S20</f>
        <v>2</v>
      </c>
      <c r="K980">
        <f t="shared" si="16"/>
        <v>0.37356464144298934</v>
      </c>
    </row>
    <row r="981" spans="1:11">
      <c r="A981" t="s">
        <v>2042</v>
      </c>
      <c r="B981">
        <f>Clothing!B21</f>
        <v>2011</v>
      </c>
      <c r="C981" t="str">
        <f>Clothing!C21</f>
        <v>OTHER</v>
      </c>
      <c r="D981">
        <f>Clothing!M21</f>
        <v>12.171379129513083</v>
      </c>
      <c r="E981" t="s">
        <v>2040</v>
      </c>
      <c r="F981">
        <f>Clothing!O21</f>
        <v>1</v>
      </c>
      <c r="G981">
        <f>Clothing!P21</f>
        <v>1</v>
      </c>
      <c r="H981">
        <f>Clothing!Q21</f>
        <v>2</v>
      </c>
      <c r="I981">
        <f>Clothing!R21</f>
        <v>2</v>
      </c>
      <c r="J981">
        <f>Clothing!S21</f>
        <v>2</v>
      </c>
      <c r="K981">
        <f t="shared" si="16"/>
        <v>0.37356464144298934</v>
      </c>
    </row>
    <row r="982" spans="1:11">
      <c r="A982" t="s">
        <v>2042</v>
      </c>
      <c r="B982">
        <f>Clothing!B22</f>
        <v>2011</v>
      </c>
      <c r="C982" t="str">
        <f>Clothing!C22</f>
        <v>PA</v>
      </c>
      <c r="D982">
        <f>Clothing!M22</f>
        <v>19.004506228168562</v>
      </c>
      <c r="E982" t="s">
        <v>2040</v>
      </c>
      <c r="F982">
        <f>Clothing!O22</f>
        <v>1</v>
      </c>
      <c r="G982">
        <f>Clothing!P22</f>
        <v>1</v>
      </c>
      <c r="H982">
        <f>Clothing!Q22</f>
        <v>2</v>
      </c>
      <c r="I982">
        <f>Clothing!R22</f>
        <v>2</v>
      </c>
      <c r="J982">
        <f>Clothing!S22</f>
        <v>2</v>
      </c>
      <c r="K982">
        <f t="shared" si="16"/>
        <v>0.37356464144298934</v>
      </c>
    </row>
    <row r="983" spans="1:11">
      <c r="A983" t="s">
        <v>2042</v>
      </c>
      <c r="B983">
        <f>Clothing!B23</f>
        <v>2011</v>
      </c>
      <c r="C983" t="str">
        <f>Clothing!C23</f>
        <v>PET</v>
      </c>
      <c r="D983">
        <f>Clothing!M23</f>
        <v>88.982479477635991</v>
      </c>
      <c r="E983" t="s">
        <v>2040</v>
      </c>
      <c r="F983">
        <f>Clothing!O23</f>
        <v>1</v>
      </c>
      <c r="G983">
        <f>Clothing!P23</f>
        <v>1</v>
      </c>
      <c r="H983">
        <f>Clothing!Q23</f>
        <v>2</v>
      </c>
      <c r="I983">
        <f>Clothing!R23</f>
        <v>2</v>
      </c>
      <c r="J983">
        <f>Clothing!S23</f>
        <v>2</v>
      </c>
      <c r="K983">
        <f t="shared" si="16"/>
        <v>0.37356464144298934</v>
      </c>
    </row>
    <row r="984" spans="1:11">
      <c r="A984" t="s">
        <v>2042</v>
      </c>
      <c r="B984">
        <f>Clothing!B24</f>
        <v>2011</v>
      </c>
      <c r="C984" t="str">
        <f>Clothing!C24</f>
        <v>PUR</v>
      </c>
      <c r="D984">
        <f>Clothing!M24</f>
        <v>6.5098815109170109</v>
      </c>
      <c r="E984" t="s">
        <v>2040</v>
      </c>
      <c r="F984">
        <f>Clothing!O24</f>
        <v>1</v>
      </c>
      <c r="G984">
        <f>Clothing!P24</f>
        <v>1</v>
      </c>
      <c r="H984">
        <f>Clothing!Q24</f>
        <v>2</v>
      </c>
      <c r="I984">
        <f>Clothing!R24</f>
        <v>2</v>
      </c>
      <c r="J984">
        <f>Clothing!S24</f>
        <v>2</v>
      </c>
      <c r="K984">
        <f t="shared" si="16"/>
        <v>0.37356464144298934</v>
      </c>
    </row>
    <row r="985" spans="1:11">
      <c r="A985" t="s">
        <v>2042</v>
      </c>
      <c r="B985">
        <f>Clothing!B25</f>
        <v>2011</v>
      </c>
      <c r="C985" t="str">
        <f>Clothing!C25</f>
        <v>PVC</v>
      </c>
      <c r="D985">
        <f>Clothing!M25</f>
        <v>4.2273729419235622</v>
      </c>
      <c r="E985" t="s">
        <v>2040</v>
      </c>
      <c r="F985">
        <f>Clothing!O25</f>
        <v>1</v>
      </c>
      <c r="G985">
        <f>Clothing!P25</f>
        <v>1</v>
      </c>
      <c r="H985">
        <f>Clothing!Q25</f>
        <v>2</v>
      </c>
      <c r="I985">
        <f>Clothing!R25</f>
        <v>2</v>
      </c>
      <c r="J985">
        <f>Clothing!S25</f>
        <v>2</v>
      </c>
      <c r="K985">
        <f t="shared" si="16"/>
        <v>0.37356464144298934</v>
      </c>
    </row>
    <row r="986" spans="1:11">
      <c r="A986" t="s">
        <v>2042</v>
      </c>
      <c r="B986">
        <f>Clothing!B26</f>
        <v>2011</v>
      </c>
      <c r="C986" t="str">
        <f>Clothing!C26</f>
        <v>RUBBER</v>
      </c>
      <c r="D986">
        <f>Clothing!M26</f>
        <v>9.4365910650176001</v>
      </c>
      <c r="E986" t="s">
        <v>2040</v>
      </c>
      <c r="F986">
        <f>Clothing!O26</f>
        <v>1</v>
      </c>
      <c r="G986">
        <f>Clothing!P26</f>
        <v>1</v>
      </c>
      <c r="H986">
        <f>Clothing!Q26</f>
        <v>2</v>
      </c>
      <c r="I986">
        <f>Clothing!R26</f>
        <v>2</v>
      </c>
      <c r="J986">
        <f>Clothing!S26</f>
        <v>2</v>
      </c>
      <c r="K986">
        <f t="shared" si="16"/>
        <v>0.37356464144298934</v>
      </c>
    </row>
    <row r="987" spans="1:11">
      <c r="A987" t="s">
        <v>2042</v>
      </c>
      <c r="B987">
        <f>Clothing!B27</f>
        <v>2012</v>
      </c>
      <c r="C987" t="str">
        <f>Clothing!C27</f>
        <v>Acryl</v>
      </c>
      <c r="D987">
        <f>Clothing!M27</f>
        <v>6.6662778773150695</v>
      </c>
      <c r="E987" t="s">
        <v>2040</v>
      </c>
      <c r="F987">
        <f>Clothing!O27</f>
        <v>1</v>
      </c>
      <c r="G987">
        <f>Clothing!P27</f>
        <v>1</v>
      </c>
      <c r="H987">
        <f>Clothing!Q27</f>
        <v>2</v>
      </c>
      <c r="I987">
        <f>Clothing!R27</f>
        <v>2</v>
      </c>
      <c r="J987">
        <f>Clothing!S27</f>
        <v>2</v>
      </c>
      <c r="K987">
        <f t="shared" si="16"/>
        <v>0.37356464144298934</v>
      </c>
    </row>
    <row r="988" spans="1:11">
      <c r="A988" t="s">
        <v>2042</v>
      </c>
      <c r="B988">
        <f>Clothing!B28</f>
        <v>2012</v>
      </c>
      <c r="C988" t="str">
        <f>Clothing!C28</f>
        <v>OTHER</v>
      </c>
      <c r="D988">
        <f>Clothing!M28</f>
        <v>9.3387899209772574</v>
      </c>
      <c r="E988" t="s">
        <v>2040</v>
      </c>
      <c r="F988">
        <f>Clothing!O28</f>
        <v>1</v>
      </c>
      <c r="G988">
        <f>Clothing!P28</f>
        <v>1</v>
      </c>
      <c r="H988">
        <f>Clothing!Q28</f>
        <v>2</v>
      </c>
      <c r="I988">
        <f>Clothing!R28</f>
        <v>2</v>
      </c>
      <c r="J988">
        <f>Clothing!S28</f>
        <v>2</v>
      </c>
      <c r="K988">
        <f t="shared" si="16"/>
        <v>0.37356464144298934</v>
      </c>
    </row>
    <row r="989" spans="1:11">
      <c r="A989" t="s">
        <v>2042</v>
      </c>
      <c r="B989">
        <f>Clothing!B29</f>
        <v>2012</v>
      </c>
      <c r="C989" t="str">
        <f>Clothing!C29</f>
        <v>PA</v>
      </c>
      <c r="D989">
        <f>Clothing!M29</f>
        <v>14.238529679885204</v>
      </c>
      <c r="E989" t="s">
        <v>2040</v>
      </c>
      <c r="F989">
        <f>Clothing!O29</f>
        <v>1</v>
      </c>
      <c r="G989">
        <f>Clothing!P29</f>
        <v>1</v>
      </c>
      <c r="H989">
        <f>Clothing!Q29</f>
        <v>2</v>
      </c>
      <c r="I989">
        <f>Clothing!R29</f>
        <v>2</v>
      </c>
      <c r="J989">
        <f>Clothing!S29</f>
        <v>2</v>
      </c>
      <c r="K989">
        <f t="shared" si="16"/>
        <v>0.37356464144298934</v>
      </c>
    </row>
    <row r="990" spans="1:11">
      <c r="A990" t="s">
        <v>2042</v>
      </c>
      <c r="B990">
        <f>Clothing!B30</f>
        <v>2012</v>
      </c>
      <c r="C990" t="str">
        <f>Clothing!C30</f>
        <v>PET</v>
      </c>
      <c r="D990">
        <f>Clothing!M30</f>
        <v>82.468840544078489</v>
      </c>
      <c r="E990" t="s">
        <v>2040</v>
      </c>
      <c r="F990">
        <f>Clothing!O30</f>
        <v>1</v>
      </c>
      <c r="G990">
        <f>Clothing!P30</f>
        <v>1</v>
      </c>
      <c r="H990">
        <f>Clothing!Q30</f>
        <v>2</v>
      </c>
      <c r="I990">
        <f>Clothing!R30</f>
        <v>2</v>
      </c>
      <c r="J990">
        <f>Clothing!S30</f>
        <v>2</v>
      </c>
      <c r="K990">
        <f t="shared" si="16"/>
        <v>0.37356464144298934</v>
      </c>
    </row>
    <row r="991" spans="1:11">
      <c r="A991" t="s">
        <v>2042</v>
      </c>
      <c r="B991">
        <f>Clothing!B31</f>
        <v>2012</v>
      </c>
      <c r="C991" t="str">
        <f>Clothing!C31</f>
        <v>PUR</v>
      </c>
      <c r="D991">
        <f>Clothing!M31</f>
        <v>5.5714724695274818</v>
      </c>
      <c r="E991" t="s">
        <v>2040</v>
      </c>
      <c r="F991">
        <f>Clothing!O31</f>
        <v>1</v>
      </c>
      <c r="G991">
        <f>Clothing!P31</f>
        <v>1</v>
      </c>
      <c r="H991">
        <f>Clothing!Q31</f>
        <v>2</v>
      </c>
      <c r="I991">
        <f>Clothing!R31</f>
        <v>2</v>
      </c>
      <c r="J991">
        <f>Clothing!S31</f>
        <v>2</v>
      </c>
      <c r="K991">
        <f t="shared" si="16"/>
        <v>0.37356464144298934</v>
      </c>
    </row>
    <row r="992" spans="1:11">
      <c r="A992" t="s">
        <v>2042</v>
      </c>
      <c r="B992">
        <f>Clothing!B32</f>
        <v>2012</v>
      </c>
      <c r="C992" t="str">
        <f>Clothing!C32</f>
        <v>PVC</v>
      </c>
      <c r="D992">
        <f>Clothing!M32</f>
        <v>3.5789730303322815</v>
      </c>
      <c r="E992" t="s">
        <v>2040</v>
      </c>
      <c r="F992">
        <f>Clothing!O32</f>
        <v>1</v>
      </c>
      <c r="G992">
        <f>Clothing!P32</f>
        <v>1</v>
      </c>
      <c r="H992">
        <f>Clothing!Q32</f>
        <v>2</v>
      </c>
      <c r="I992">
        <f>Clothing!R32</f>
        <v>2</v>
      </c>
      <c r="J992">
        <f>Clothing!S32</f>
        <v>2</v>
      </c>
      <c r="K992">
        <f t="shared" si="16"/>
        <v>0.37356464144298934</v>
      </c>
    </row>
    <row r="993" spans="1:11">
      <c r="A993" t="s">
        <v>2042</v>
      </c>
      <c r="B993">
        <f>Clothing!B33</f>
        <v>2012</v>
      </c>
      <c r="C993" t="str">
        <f>Clothing!C33</f>
        <v>RUBBER</v>
      </c>
      <c r="D993">
        <f>Clothing!M33</f>
        <v>7.5338368672129015</v>
      </c>
      <c r="E993" t="s">
        <v>2040</v>
      </c>
      <c r="F993">
        <f>Clothing!O33</f>
        <v>1</v>
      </c>
      <c r="G993">
        <f>Clothing!P33</f>
        <v>1</v>
      </c>
      <c r="H993">
        <f>Clothing!Q33</f>
        <v>2</v>
      </c>
      <c r="I993">
        <f>Clothing!R33</f>
        <v>2</v>
      </c>
      <c r="J993">
        <f>Clothing!S33</f>
        <v>2</v>
      </c>
      <c r="K993">
        <f t="shared" si="16"/>
        <v>0.37356464144298934</v>
      </c>
    </row>
    <row r="994" spans="1:11">
      <c r="A994" t="s">
        <v>2042</v>
      </c>
      <c r="B994">
        <f>Clothing!B34</f>
        <v>2013</v>
      </c>
      <c r="C994" t="str">
        <f>Clothing!C34</f>
        <v>Acryl</v>
      </c>
      <c r="D994">
        <f>Clothing!M34</f>
        <v>7.168183794398959</v>
      </c>
      <c r="E994" t="s">
        <v>2040</v>
      </c>
      <c r="F994">
        <f>Clothing!O34</f>
        <v>1</v>
      </c>
      <c r="G994">
        <f>Clothing!P34</f>
        <v>1</v>
      </c>
      <c r="H994">
        <f>Clothing!Q34</f>
        <v>2</v>
      </c>
      <c r="I994">
        <f>Clothing!R34</f>
        <v>2</v>
      </c>
      <c r="J994">
        <f>Clothing!S34</f>
        <v>2</v>
      </c>
      <c r="K994">
        <f t="shared" si="16"/>
        <v>0.37356464144298934</v>
      </c>
    </row>
    <row r="995" spans="1:11">
      <c r="A995" t="s">
        <v>2042</v>
      </c>
      <c r="B995">
        <f>Clothing!B35</f>
        <v>2013</v>
      </c>
      <c r="C995" t="str">
        <f>Clothing!C35</f>
        <v>OTHER</v>
      </c>
      <c r="D995">
        <f>Clothing!M35</f>
        <v>11.652251294085497</v>
      </c>
      <c r="E995" t="s">
        <v>2040</v>
      </c>
      <c r="F995">
        <f>Clothing!O35</f>
        <v>1</v>
      </c>
      <c r="G995">
        <f>Clothing!P35</f>
        <v>1</v>
      </c>
      <c r="H995">
        <f>Clothing!Q35</f>
        <v>2</v>
      </c>
      <c r="I995">
        <f>Clothing!R35</f>
        <v>2</v>
      </c>
      <c r="J995">
        <f>Clothing!S35</f>
        <v>2</v>
      </c>
      <c r="K995">
        <f t="shared" si="16"/>
        <v>0.37356464144298934</v>
      </c>
    </row>
    <row r="996" spans="1:11">
      <c r="A996" t="s">
        <v>2042</v>
      </c>
      <c r="B996">
        <f>Clothing!B36</f>
        <v>2013</v>
      </c>
      <c r="C996" t="str">
        <f>Clothing!C36</f>
        <v>PA</v>
      </c>
      <c r="D996">
        <f>Clothing!M36</f>
        <v>15.859928213122007</v>
      </c>
      <c r="E996" t="s">
        <v>2040</v>
      </c>
      <c r="F996">
        <f>Clothing!O36</f>
        <v>1</v>
      </c>
      <c r="G996">
        <f>Clothing!P36</f>
        <v>1</v>
      </c>
      <c r="H996">
        <f>Clothing!Q36</f>
        <v>2</v>
      </c>
      <c r="I996">
        <f>Clothing!R36</f>
        <v>2</v>
      </c>
      <c r="J996">
        <f>Clothing!S36</f>
        <v>2</v>
      </c>
      <c r="K996">
        <f t="shared" si="16"/>
        <v>0.37356464144298934</v>
      </c>
    </row>
    <row r="997" spans="1:11">
      <c r="A997" t="s">
        <v>2042</v>
      </c>
      <c r="B997">
        <f>Clothing!B37</f>
        <v>2013</v>
      </c>
      <c r="C997" t="str">
        <f>Clothing!C37</f>
        <v>PET</v>
      </c>
      <c r="D997">
        <f>Clothing!M37</f>
        <v>92.541115969839964</v>
      </c>
      <c r="E997" t="s">
        <v>2040</v>
      </c>
      <c r="F997">
        <f>Clothing!O37</f>
        <v>1</v>
      </c>
      <c r="G997">
        <f>Clothing!P37</f>
        <v>1</v>
      </c>
      <c r="H997">
        <f>Clothing!Q37</f>
        <v>2</v>
      </c>
      <c r="I997">
        <f>Clothing!R37</f>
        <v>2</v>
      </c>
      <c r="J997">
        <f>Clothing!S37</f>
        <v>2</v>
      </c>
      <c r="K997">
        <f t="shared" si="16"/>
        <v>0.37356464144298934</v>
      </c>
    </row>
    <row r="998" spans="1:11">
      <c r="A998" t="s">
        <v>2042</v>
      </c>
      <c r="B998">
        <f>Clothing!B38</f>
        <v>2013</v>
      </c>
      <c r="C998" t="str">
        <f>Clothing!C38</f>
        <v>PUR</v>
      </c>
      <c r="D998">
        <f>Clothing!M38</f>
        <v>5.8005302622873742</v>
      </c>
      <c r="E998" t="s">
        <v>2040</v>
      </c>
      <c r="F998">
        <f>Clothing!O38</f>
        <v>1</v>
      </c>
      <c r="G998">
        <f>Clothing!P38</f>
        <v>1</v>
      </c>
      <c r="H998">
        <f>Clothing!Q38</f>
        <v>2</v>
      </c>
      <c r="I998">
        <f>Clothing!R38</f>
        <v>2</v>
      </c>
      <c r="J998">
        <f>Clothing!S38</f>
        <v>2</v>
      </c>
      <c r="K998">
        <f t="shared" si="16"/>
        <v>0.37356464144298934</v>
      </c>
    </row>
    <row r="999" spans="1:11">
      <c r="A999" t="s">
        <v>2042</v>
      </c>
      <c r="B999">
        <f>Clothing!B39</f>
        <v>2013</v>
      </c>
      <c r="C999" t="str">
        <f>Clothing!C39</f>
        <v>PVC</v>
      </c>
      <c r="D999">
        <f>Clothing!M39</f>
        <v>3.787472578676867</v>
      </c>
      <c r="E999" t="s">
        <v>2040</v>
      </c>
      <c r="F999">
        <f>Clothing!O39</f>
        <v>1</v>
      </c>
      <c r="G999">
        <f>Clothing!P39</f>
        <v>1</v>
      </c>
      <c r="H999">
        <f>Clothing!Q39</f>
        <v>2</v>
      </c>
      <c r="I999">
        <f>Clothing!R39</f>
        <v>2</v>
      </c>
      <c r="J999">
        <f>Clothing!S39</f>
        <v>2</v>
      </c>
      <c r="K999">
        <f t="shared" si="16"/>
        <v>0.37356464144298934</v>
      </c>
    </row>
    <row r="1000" spans="1:11">
      <c r="A1000" t="s">
        <v>2042</v>
      </c>
      <c r="B1000">
        <f>Clothing!B40</f>
        <v>2013</v>
      </c>
      <c r="C1000" t="str">
        <f>Clothing!C40</f>
        <v>RUBBER</v>
      </c>
      <c r="D1000">
        <f>Clothing!M40</f>
        <v>8.7750319877489797</v>
      </c>
      <c r="E1000" t="s">
        <v>2040</v>
      </c>
      <c r="F1000">
        <f>Clothing!O40</f>
        <v>1</v>
      </c>
      <c r="G1000">
        <f>Clothing!P40</f>
        <v>1</v>
      </c>
      <c r="H1000">
        <f>Clothing!Q40</f>
        <v>2</v>
      </c>
      <c r="I1000">
        <f>Clothing!R40</f>
        <v>2</v>
      </c>
      <c r="J1000">
        <f>Clothing!S40</f>
        <v>2</v>
      </c>
      <c r="K1000">
        <f t="shared" si="16"/>
        <v>0.37356464144298934</v>
      </c>
    </row>
    <row r="1001" spans="1:11">
      <c r="A1001" t="s">
        <v>2042</v>
      </c>
      <c r="B1001">
        <f>Clothing!B41</f>
        <v>2014</v>
      </c>
      <c r="C1001" t="str">
        <f>Clothing!C41</f>
        <v>Acryl</v>
      </c>
      <c r="D1001">
        <f>Clothing!M41</f>
        <v>8.0284961728815034</v>
      </c>
      <c r="E1001" t="s">
        <v>2040</v>
      </c>
      <c r="F1001">
        <f>Clothing!O41</f>
        <v>1</v>
      </c>
      <c r="G1001">
        <f>Clothing!P41</f>
        <v>1</v>
      </c>
      <c r="H1001">
        <f>Clothing!Q41</f>
        <v>2</v>
      </c>
      <c r="I1001">
        <f>Clothing!R41</f>
        <v>2</v>
      </c>
      <c r="J1001">
        <f>Clothing!S41</f>
        <v>2</v>
      </c>
      <c r="K1001">
        <f t="shared" si="16"/>
        <v>0.37356464144298934</v>
      </c>
    </row>
    <row r="1002" spans="1:11">
      <c r="A1002" t="s">
        <v>2042</v>
      </c>
      <c r="B1002">
        <f>Clothing!B42</f>
        <v>2014</v>
      </c>
      <c r="C1002" t="str">
        <f>Clothing!C42</f>
        <v>OTHER</v>
      </c>
      <c r="D1002">
        <f>Clothing!M42</f>
        <v>14.204918322100886</v>
      </c>
      <c r="E1002" t="s">
        <v>2040</v>
      </c>
      <c r="F1002">
        <f>Clothing!O42</f>
        <v>1</v>
      </c>
      <c r="G1002">
        <f>Clothing!P42</f>
        <v>1</v>
      </c>
      <c r="H1002">
        <f>Clothing!Q42</f>
        <v>2</v>
      </c>
      <c r="I1002">
        <f>Clothing!R42</f>
        <v>2</v>
      </c>
      <c r="J1002">
        <f>Clothing!S42</f>
        <v>2</v>
      </c>
      <c r="K1002">
        <f t="shared" si="16"/>
        <v>0.37356464144298934</v>
      </c>
    </row>
    <row r="1003" spans="1:11">
      <c r="A1003" t="s">
        <v>2042</v>
      </c>
      <c r="B1003">
        <f>Clothing!B43</f>
        <v>2014</v>
      </c>
      <c r="C1003" t="str">
        <f>Clothing!C43</f>
        <v>PA</v>
      </c>
      <c r="D1003">
        <f>Clothing!M43</f>
        <v>18.667814658043774</v>
      </c>
      <c r="E1003" t="s">
        <v>2040</v>
      </c>
      <c r="F1003">
        <f>Clothing!O43</f>
        <v>1</v>
      </c>
      <c r="G1003">
        <f>Clothing!P43</f>
        <v>1</v>
      </c>
      <c r="H1003">
        <f>Clothing!Q43</f>
        <v>2</v>
      </c>
      <c r="I1003">
        <f>Clothing!R43</f>
        <v>2</v>
      </c>
      <c r="J1003">
        <f>Clothing!S43</f>
        <v>2</v>
      </c>
      <c r="K1003">
        <f t="shared" si="16"/>
        <v>0.37356464144298934</v>
      </c>
    </row>
    <row r="1004" spans="1:11">
      <c r="A1004" t="s">
        <v>2042</v>
      </c>
      <c r="B1004">
        <f>Clothing!B44</f>
        <v>2014</v>
      </c>
      <c r="C1004" t="str">
        <f>Clothing!C44</f>
        <v>PET</v>
      </c>
      <c r="D1004">
        <f>Clothing!M44</f>
        <v>106.95310634478037</v>
      </c>
      <c r="E1004" t="s">
        <v>2040</v>
      </c>
      <c r="F1004">
        <f>Clothing!O44</f>
        <v>1</v>
      </c>
      <c r="G1004">
        <f>Clothing!P44</f>
        <v>1</v>
      </c>
      <c r="H1004">
        <f>Clothing!Q44</f>
        <v>2</v>
      </c>
      <c r="I1004">
        <f>Clothing!R44</f>
        <v>2</v>
      </c>
      <c r="J1004">
        <f>Clothing!S44</f>
        <v>2</v>
      </c>
      <c r="K1004">
        <f t="shared" si="16"/>
        <v>0.37356464144298934</v>
      </c>
    </row>
    <row r="1005" spans="1:11">
      <c r="A1005" t="s">
        <v>2042</v>
      </c>
      <c r="B1005">
        <f>Clothing!B45</f>
        <v>2014</v>
      </c>
      <c r="C1005" t="str">
        <f>Clothing!C45</f>
        <v>PUR</v>
      </c>
      <c r="D1005">
        <f>Clothing!M45</f>
        <v>6.8613608138291964</v>
      </c>
      <c r="E1005" t="s">
        <v>2040</v>
      </c>
      <c r="F1005">
        <f>Clothing!O45</f>
        <v>1</v>
      </c>
      <c r="G1005">
        <f>Clothing!P45</f>
        <v>1</v>
      </c>
      <c r="H1005">
        <f>Clothing!Q45</f>
        <v>2</v>
      </c>
      <c r="I1005">
        <f>Clothing!R45</f>
        <v>2</v>
      </c>
      <c r="J1005">
        <f>Clothing!S45</f>
        <v>2</v>
      </c>
      <c r="K1005">
        <f t="shared" si="16"/>
        <v>0.37356464144298934</v>
      </c>
    </row>
    <row r="1006" spans="1:11">
      <c r="A1006" t="s">
        <v>2042</v>
      </c>
      <c r="B1006">
        <f>Clothing!B46</f>
        <v>2014</v>
      </c>
      <c r="C1006" t="str">
        <f>Clothing!C46</f>
        <v>PVC</v>
      </c>
      <c r="D1006">
        <f>Clothing!M46</f>
        <v>4.4767629778213243</v>
      </c>
      <c r="E1006" t="s">
        <v>2040</v>
      </c>
      <c r="F1006">
        <f>Clothing!O46</f>
        <v>1</v>
      </c>
      <c r="G1006">
        <f>Clothing!P46</f>
        <v>1</v>
      </c>
      <c r="H1006">
        <f>Clothing!Q46</f>
        <v>2</v>
      </c>
      <c r="I1006">
        <f>Clothing!R46</f>
        <v>2</v>
      </c>
      <c r="J1006">
        <f>Clothing!S46</f>
        <v>2</v>
      </c>
      <c r="K1006">
        <f t="shared" si="16"/>
        <v>0.37356464144298934</v>
      </c>
    </row>
    <row r="1007" spans="1:11">
      <c r="A1007" t="s">
        <v>2042</v>
      </c>
      <c r="B1007">
        <f>Clothing!B47</f>
        <v>2014</v>
      </c>
      <c r="C1007" t="str">
        <f>Clothing!C47</f>
        <v>RUBBER</v>
      </c>
      <c r="D1007">
        <f>Clothing!M47</f>
        <v>10.191405959820315</v>
      </c>
      <c r="E1007" t="s">
        <v>2040</v>
      </c>
      <c r="F1007">
        <f>Clothing!O47</f>
        <v>1</v>
      </c>
      <c r="G1007">
        <f>Clothing!P47</f>
        <v>1</v>
      </c>
      <c r="H1007">
        <f>Clothing!Q47</f>
        <v>2</v>
      </c>
      <c r="I1007">
        <f>Clothing!R47</f>
        <v>2</v>
      </c>
      <c r="J1007">
        <f>Clothing!S47</f>
        <v>2</v>
      </c>
      <c r="K1007">
        <f t="shared" si="16"/>
        <v>0.37356464144298934</v>
      </c>
    </row>
    <row r="1008" spans="1:11">
      <c r="A1008" t="s">
        <v>2042</v>
      </c>
      <c r="B1008">
        <f>Clothing!B48</f>
        <v>2015</v>
      </c>
      <c r="C1008" t="str">
        <f>Clothing!C48</f>
        <v>Acryl</v>
      </c>
      <c r="D1008">
        <f>Clothing!M48</f>
        <v>8.1486761223618362</v>
      </c>
      <c r="E1008" t="s">
        <v>2040</v>
      </c>
      <c r="F1008">
        <f>Clothing!O48</f>
        <v>1</v>
      </c>
      <c r="G1008">
        <f>Clothing!P48</f>
        <v>1</v>
      </c>
      <c r="H1008">
        <f>Clothing!Q48</f>
        <v>2</v>
      </c>
      <c r="I1008">
        <f>Clothing!R48</f>
        <v>2</v>
      </c>
      <c r="J1008">
        <f>Clothing!S48</f>
        <v>2</v>
      </c>
      <c r="K1008">
        <f t="shared" si="16"/>
        <v>0.37356464144298934</v>
      </c>
    </row>
    <row r="1009" spans="1:11">
      <c r="A1009" t="s">
        <v>2042</v>
      </c>
      <c r="B1009">
        <f>Clothing!B49</f>
        <v>2015</v>
      </c>
      <c r="C1009" t="str">
        <f>Clothing!C49</f>
        <v>OTHER</v>
      </c>
      <c r="D1009">
        <f>Clothing!M49</f>
        <v>13.754532414655765</v>
      </c>
      <c r="E1009" t="s">
        <v>2040</v>
      </c>
      <c r="F1009">
        <f>Clothing!O49</f>
        <v>1</v>
      </c>
      <c r="G1009">
        <f>Clothing!P49</f>
        <v>1</v>
      </c>
      <c r="H1009">
        <f>Clothing!Q49</f>
        <v>2</v>
      </c>
      <c r="I1009">
        <f>Clothing!R49</f>
        <v>2</v>
      </c>
      <c r="J1009">
        <f>Clothing!S49</f>
        <v>2</v>
      </c>
      <c r="K1009">
        <f t="shared" si="16"/>
        <v>0.37356464144298934</v>
      </c>
    </row>
    <row r="1010" spans="1:11">
      <c r="A1010" t="s">
        <v>2042</v>
      </c>
      <c r="B1010">
        <f>Clothing!B50</f>
        <v>2015</v>
      </c>
      <c r="C1010" t="str">
        <f>Clothing!C50</f>
        <v>PA</v>
      </c>
      <c r="D1010">
        <f>Clothing!M50</f>
        <v>18.006180001219171</v>
      </c>
      <c r="E1010" t="s">
        <v>2040</v>
      </c>
      <c r="F1010">
        <f>Clothing!O50</f>
        <v>1</v>
      </c>
      <c r="G1010">
        <f>Clothing!P50</f>
        <v>1</v>
      </c>
      <c r="H1010">
        <f>Clothing!Q50</f>
        <v>2</v>
      </c>
      <c r="I1010">
        <f>Clothing!R50</f>
        <v>2</v>
      </c>
      <c r="J1010">
        <f>Clothing!S50</f>
        <v>2</v>
      </c>
      <c r="K1010">
        <f t="shared" si="16"/>
        <v>0.37356464144298934</v>
      </c>
    </row>
    <row r="1011" spans="1:11">
      <c r="A1011" t="s">
        <v>2042</v>
      </c>
      <c r="B1011">
        <f>Clothing!B51</f>
        <v>2015</v>
      </c>
      <c r="C1011" t="str">
        <f>Clothing!C51</f>
        <v>PET</v>
      </c>
      <c r="D1011">
        <f>Clothing!M51</f>
        <v>104.67114912285534</v>
      </c>
      <c r="E1011" t="s">
        <v>2040</v>
      </c>
      <c r="F1011">
        <f>Clothing!O51</f>
        <v>1</v>
      </c>
      <c r="G1011">
        <f>Clothing!P51</f>
        <v>1</v>
      </c>
      <c r="H1011">
        <f>Clothing!Q51</f>
        <v>2</v>
      </c>
      <c r="I1011">
        <f>Clothing!R51</f>
        <v>2</v>
      </c>
      <c r="J1011">
        <f>Clothing!S51</f>
        <v>2</v>
      </c>
      <c r="K1011">
        <f t="shared" si="16"/>
        <v>0.37356464144298934</v>
      </c>
    </row>
    <row r="1012" spans="1:11">
      <c r="A1012" t="s">
        <v>2042</v>
      </c>
      <c r="B1012">
        <f>Clothing!B52</f>
        <v>2015</v>
      </c>
      <c r="C1012" t="str">
        <f>Clothing!C52</f>
        <v>PUR</v>
      </c>
      <c r="D1012">
        <f>Clothing!M52</f>
        <v>7.4214999878403987</v>
      </c>
      <c r="E1012" t="s">
        <v>2040</v>
      </c>
      <c r="F1012">
        <f>Clothing!O52</f>
        <v>1</v>
      </c>
      <c r="G1012">
        <f>Clothing!P52</f>
        <v>1</v>
      </c>
      <c r="H1012">
        <f>Clothing!Q52</f>
        <v>2</v>
      </c>
      <c r="I1012">
        <f>Clothing!R52</f>
        <v>2</v>
      </c>
      <c r="J1012">
        <f>Clothing!S52</f>
        <v>2</v>
      </c>
      <c r="K1012">
        <f t="shared" si="16"/>
        <v>0.37356464144298934</v>
      </c>
    </row>
    <row r="1013" spans="1:11">
      <c r="A1013" t="s">
        <v>2042</v>
      </c>
      <c r="B1013">
        <f>Clothing!B53</f>
        <v>2015</v>
      </c>
      <c r="C1013" t="str">
        <f>Clothing!C53</f>
        <v>PVC</v>
      </c>
      <c r="D1013">
        <f>Clothing!M53</f>
        <v>4.8384839040320351</v>
      </c>
      <c r="E1013" t="s">
        <v>2040</v>
      </c>
      <c r="F1013">
        <f>Clothing!O53</f>
        <v>1</v>
      </c>
      <c r="G1013">
        <f>Clothing!P53</f>
        <v>1</v>
      </c>
      <c r="H1013">
        <f>Clothing!Q53</f>
        <v>2</v>
      </c>
      <c r="I1013">
        <f>Clothing!R53</f>
        <v>2</v>
      </c>
      <c r="J1013">
        <f>Clothing!S53</f>
        <v>2</v>
      </c>
      <c r="K1013">
        <f t="shared" si="16"/>
        <v>0.37356464144298934</v>
      </c>
    </row>
    <row r="1014" spans="1:11">
      <c r="A1014" t="s">
        <v>2042</v>
      </c>
      <c r="B1014">
        <f>Clothing!B54</f>
        <v>2015</v>
      </c>
      <c r="C1014" t="str">
        <f>Clothing!C54</f>
        <v>RUBBER</v>
      </c>
      <c r="D1014">
        <f>Clothing!M54</f>
        <v>11.134685754643709</v>
      </c>
      <c r="E1014" t="s">
        <v>2040</v>
      </c>
      <c r="F1014">
        <f>Clothing!O54</f>
        <v>1</v>
      </c>
      <c r="G1014">
        <f>Clothing!P54</f>
        <v>1</v>
      </c>
      <c r="H1014">
        <f>Clothing!Q54</f>
        <v>2</v>
      </c>
      <c r="I1014">
        <f>Clothing!R54</f>
        <v>2</v>
      </c>
      <c r="J1014">
        <f>Clothing!S54</f>
        <v>2</v>
      </c>
      <c r="K1014">
        <f t="shared" si="16"/>
        <v>0.37356464144298934</v>
      </c>
    </row>
    <row r="1015" spans="1:11">
      <c r="A1015" t="s">
        <v>2042</v>
      </c>
      <c r="B1015">
        <f>Clothing!B55</f>
        <v>2016</v>
      </c>
      <c r="C1015" t="str">
        <f>Clothing!C55</f>
        <v>Acryl</v>
      </c>
      <c r="D1015">
        <f>Clothing!M55</f>
        <v>8.4094244638508204</v>
      </c>
      <c r="E1015" t="s">
        <v>2040</v>
      </c>
      <c r="F1015">
        <f>Clothing!O55</f>
        <v>1</v>
      </c>
      <c r="G1015">
        <f>Clothing!P55</f>
        <v>1</v>
      </c>
      <c r="H1015">
        <f>Clothing!Q55</f>
        <v>2</v>
      </c>
      <c r="I1015">
        <f>Clothing!R55</f>
        <v>2</v>
      </c>
      <c r="J1015">
        <f>Clothing!S55</f>
        <v>2</v>
      </c>
      <c r="K1015">
        <f t="shared" si="16"/>
        <v>0.37356464144298934</v>
      </c>
    </row>
    <row r="1016" spans="1:11">
      <c r="A1016" t="s">
        <v>2042</v>
      </c>
      <c r="B1016">
        <f>Clothing!B56</f>
        <v>2016</v>
      </c>
      <c r="C1016" t="str">
        <f>Clothing!C56</f>
        <v>OTHER</v>
      </c>
      <c r="D1016">
        <f>Clothing!M56</f>
        <v>14.413782999139251</v>
      </c>
      <c r="E1016" t="s">
        <v>2040</v>
      </c>
      <c r="F1016">
        <f>Clothing!O56</f>
        <v>1</v>
      </c>
      <c r="G1016">
        <f>Clothing!P56</f>
        <v>1</v>
      </c>
      <c r="H1016">
        <f>Clothing!Q56</f>
        <v>2</v>
      </c>
      <c r="I1016">
        <f>Clothing!R56</f>
        <v>2</v>
      </c>
      <c r="J1016">
        <f>Clothing!S56</f>
        <v>2</v>
      </c>
      <c r="K1016">
        <f t="shared" si="16"/>
        <v>0.37356464144298934</v>
      </c>
    </row>
    <row r="1017" spans="1:11">
      <c r="A1017" t="s">
        <v>2042</v>
      </c>
      <c r="B1017">
        <f>Clothing!B57</f>
        <v>2016</v>
      </c>
      <c r="C1017" t="str">
        <f>Clothing!C57</f>
        <v>PA</v>
      </c>
      <c r="D1017">
        <f>Clothing!M57</f>
        <v>19.847770545609521</v>
      </c>
      <c r="E1017" t="s">
        <v>2040</v>
      </c>
      <c r="F1017">
        <f>Clothing!O57</f>
        <v>1</v>
      </c>
      <c r="G1017">
        <f>Clothing!P57</f>
        <v>1</v>
      </c>
      <c r="H1017">
        <f>Clothing!Q57</f>
        <v>2</v>
      </c>
      <c r="I1017">
        <f>Clothing!R57</f>
        <v>2</v>
      </c>
      <c r="J1017">
        <f>Clothing!S57</f>
        <v>2</v>
      </c>
      <c r="K1017">
        <f t="shared" si="16"/>
        <v>0.37356464144298934</v>
      </c>
    </row>
    <row r="1018" spans="1:11">
      <c r="A1018" t="s">
        <v>2042</v>
      </c>
      <c r="B1018">
        <f>Clothing!B58</f>
        <v>2016</v>
      </c>
      <c r="C1018" t="str">
        <f>Clothing!C58</f>
        <v>PET</v>
      </c>
      <c r="D1018">
        <f>Clothing!M58</f>
        <v>112.07855240177253</v>
      </c>
      <c r="E1018" t="s">
        <v>2040</v>
      </c>
      <c r="F1018">
        <f>Clothing!O58</f>
        <v>1</v>
      </c>
      <c r="G1018">
        <f>Clothing!P58</f>
        <v>1</v>
      </c>
      <c r="H1018">
        <f>Clothing!Q58</f>
        <v>2</v>
      </c>
      <c r="I1018">
        <f>Clothing!R58</f>
        <v>2</v>
      </c>
      <c r="J1018">
        <f>Clothing!S58</f>
        <v>2</v>
      </c>
      <c r="K1018">
        <f t="shared" si="16"/>
        <v>0.37356464144298934</v>
      </c>
    </row>
    <row r="1019" spans="1:11">
      <c r="A1019" t="s">
        <v>2042</v>
      </c>
      <c r="B1019">
        <f>Clothing!B59</f>
        <v>2016</v>
      </c>
      <c r="C1019" t="str">
        <f>Clothing!C59</f>
        <v>PUR</v>
      </c>
      <c r="D1019">
        <f>Clothing!M59</f>
        <v>7.5337332789877811</v>
      </c>
      <c r="E1019" t="s">
        <v>2040</v>
      </c>
      <c r="F1019">
        <f>Clothing!O59</f>
        <v>1</v>
      </c>
      <c r="G1019">
        <f>Clothing!P59</f>
        <v>1</v>
      </c>
      <c r="H1019">
        <f>Clothing!Q59</f>
        <v>2</v>
      </c>
      <c r="I1019">
        <f>Clothing!R59</f>
        <v>2</v>
      </c>
      <c r="J1019">
        <f>Clothing!S59</f>
        <v>2</v>
      </c>
      <c r="K1019">
        <f t="shared" si="16"/>
        <v>0.37356464144298934</v>
      </c>
    </row>
    <row r="1020" spans="1:11">
      <c r="A1020" t="s">
        <v>2042</v>
      </c>
      <c r="B1020">
        <f>Clothing!B60</f>
        <v>2016</v>
      </c>
      <c r="C1020" t="str">
        <f>Clothing!C60</f>
        <v>PVC</v>
      </c>
      <c r="D1020">
        <f>Clothing!M60</f>
        <v>4.8659867444251654</v>
      </c>
      <c r="E1020" t="s">
        <v>2040</v>
      </c>
      <c r="F1020">
        <f>Clothing!O60</f>
        <v>1</v>
      </c>
      <c r="G1020">
        <f>Clothing!P60</f>
        <v>1</v>
      </c>
      <c r="H1020">
        <f>Clothing!Q60</f>
        <v>2</v>
      </c>
      <c r="I1020">
        <f>Clothing!R60</f>
        <v>2</v>
      </c>
      <c r="J1020">
        <f>Clothing!S60</f>
        <v>2</v>
      </c>
      <c r="K1020">
        <f t="shared" si="16"/>
        <v>0.37356464144298934</v>
      </c>
    </row>
    <row r="1021" spans="1:11">
      <c r="A1021" t="s">
        <v>2042</v>
      </c>
      <c r="B1021">
        <f>Clothing!B61</f>
        <v>2016</v>
      </c>
      <c r="C1021" t="str">
        <f>Clothing!C61</f>
        <v>RUBBER</v>
      </c>
      <c r="D1021">
        <f>Clothing!M61</f>
        <v>10.42378590435062</v>
      </c>
      <c r="E1021" t="s">
        <v>2040</v>
      </c>
      <c r="F1021">
        <f>Clothing!O61</f>
        <v>1</v>
      </c>
      <c r="G1021">
        <f>Clothing!P61</f>
        <v>1</v>
      </c>
      <c r="H1021">
        <f>Clothing!Q61</f>
        <v>2</v>
      </c>
      <c r="I1021">
        <f>Clothing!R61</f>
        <v>2</v>
      </c>
      <c r="J1021">
        <f>Clothing!S61</f>
        <v>2</v>
      </c>
      <c r="K1021">
        <f t="shared" ref="K1021:K1084" si="17">IF( OR( ISBLANK(F1021),ISBLANK(G1021), ISBLANK(H1021), ISBLANK(I1021), ISBLANK(J1021) ), "", 1.5*SQRT(   EXP(2.21*(F1021-1)) + EXP(2.21*(G1021-1)) + EXP(2.21*(H1021-1)) + EXP(2.21*(I1021-1)) + EXP(2.21*J1021)   )/100*2.45 )</f>
        <v>0.37356464144298934</v>
      </c>
    </row>
    <row r="1022" spans="1:11">
      <c r="A1022" t="s">
        <v>2042</v>
      </c>
      <c r="B1022">
        <f>Clothing!B62</f>
        <v>2017</v>
      </c>
      <c r="C1022" t="str">
        <f>Clothing!C62</f>
        <v>Acryl</v>
      </c>
      <c r="D1022">
        <f>Clothing!M62</f>
        <v>8.4464366610204156</v>
      </c>
      <c r="E1022" t="s">
        <v>2040</v>
      </c>
      <c r="F1022">
        <f>Clothing!O62</f>
        <v>1</v>
      </c>
      <c r="G1022">
        <f>Clothing!P62</f>
        <v>1</v>
      </c>
      <c r="H1022">
        <f>Clothing!Q62</f>
        <v>2</v>
      </c>
      <c r="I1022">
        <f>Clothing!R62</f>
        <v>2</v>
      </c>
      <c r="J1022">
        <f>Clothing!S62</f>
        <v>2</v>
      </c>
      <c r="K1022">
        <f t="shared" si="17"/>
        <v>0.37356464144298934</v>
      </c>
    </row>
    <row r="1023" spans="1:11">
      <c r="A1023" t="s">
        <v>2042</v>
      </c>
      <c r="B1023">
        <f>Clothing!B63</f>
        <v>2017</v>
      </c>
      <c r="C1023" t="str">
        <f>Clothing!C63</f>
        <v>OTHER</v>
      </c>
      <c r="D1023">
        <f>Clothing!M63</f>
        <v>13.057243544095162</v>
      </c>
      <c r="E1023" t="s">
        <v>2040</v>
      </c>
      <c r="F1023">
        <f>Clothing!O63</f>
        <v>1</v>
      </c>
      <c r="G1023">
        <f>Clothing!P63</f>
        <v>1</v>
      </c>
      <c r="H1023">
        <f>Clothing!Q63</f>
        <v>2</v>
      </c>
      <c r="I1023">
        <f>Clothing!R63</f>
        <v>2</v>
      </c>
      <c r="J1023">
        <f>Clothing!S63</f>
        <v>2</v>
      </c>
      <c r="K1023">
        <f t="shared" si="17"/>
        <v>0.37356464144298934</v>
      </c>
    </row>
    <row r="1024" spans="1:11">
      <c r="A1024" t="s">
        <v>2042</v>
      </c>
      <c r="B1024">
        <f>Clothing!B64</f>
        <v>2017</v>
      </c>
      <c r="C1024" t="str">
        <f>Clothing!C64</f>
        <v>PA</v>
      </c>
      <c r="D1024">
        <f>Clothing!M64</f>
        <v>18.275176444840973</v>
      </c>
      <c r="E1024" t="s">
        <v>2040</v>
      </c>
      <c r="F1024">
        <f>Clothing!O64</f>
        <v>1</v>
      </c>
      <c r="G1024">
        <f>Clothing!P64</f>
        <v>1</v>
      </c>
      <c r="H1024">
        <f>Clothing!Q64</f>
        <v>2</v>
      </c>
      <c r="I1024">
        <f>Clothing!R64</f>
        <v>2</v>
      </c>
      <c r="J1024">
        <f>Clothing!S64</f>
        <v>2</v>
      </c>
      <c r="K1024">
        <f t="shared" si="17"/>
        <v>0.37356464144298934</v>
      </c>
    </row>
    <row r="1025" spans="1:11">
      <c r="A1025" t="s">
        <v>2042</v>
      </c>
      <c r="B1025">
        <f>Clothing!B65</f>
        <v>2017</v>
      </c>
      <c r="C1025" t="str">
        <f>Clothing!C65</f>
        <v>PET</v>
      </c>
      <c r="D1025">
        <f>Clothing!M65</f>
        <v>97.403663062068674</v>
      </c>
      <c r="E1025" t="s">
        <v>2040</v>
      </c>
      <c r="F1025">
        <f>Clothing!O65</f>
        <v>1</v>
      </c>
      <c r="G1025">
        <f>Clothing!P65</f>
        <v>1</v>
      </c>
      <c r="H1025">
        <f>Clothing!Q65</f>
        <v>2</v>
      </c>
      <c r="I1025">
        <f>Clothing!R65</f>
        <v>2</v>
      </c>
      <c r="J1025">
        <f>Clothing!S65</f>
        <v>2</v>
      </c>
      <c r="K1025">
        <f t="shared" si="17"/>
        <v>0.37356464144298934</v>
      </c>
    </row>
    <row r="1026" spans="1:11">
      <c r="A1026" t="s">
        <v>2042</v>
      </c>
      <c r="B1026">
        <f>Clothing!B66</f>
        <v>2017</v>
      </c>
      <c r="C1026" t="str">
        <f>Clothing!C66</f>
        <v>PUR</v>
      </c>
      <c r="D1026">
        <f>Clothing!M66</f>
        <v>6.3956952346371967</v>
      </c>
      <c r="E1026" t="s">
        <v>2040</v>
      </c>
      <c r="F1026">
        <f>Clothing!O66</f>
        <v>1</v>
      </c>
      <c r="G1026">
        <f>Clothing!P66</f>
        <v>1</v>
      </c>
      <c r="H1026">
        <f>Clothing!Q66</f>
        <v>2</v>
      </c>
      <c r="I1026">
        <f>Clothing!R66</f>
        <v>2</v>
      </c>
      <c r="J1026">
        <f>Clothing!S66</f>
        <v>2</v>
      </c>
      <c r="K1026">
        <f t="shared" si="17"/>
        <v>0.37356464144298934</v>
      </c>
    </row>
    <row r="1027" spans="1:11">
      <c r="A1027" t="s">
        <v>2042</v>
      </c>
      <c r="B1027">
        <f>Clothing!B67</f>
        <v>2017</v>
      </c>
      <c r="C1027" t="str">
        <f>Clothing!C67</f>
        <v>PVC</v>
      </c>
      <c r="D1027">
        <f>Clothing!M67</f>
        <v>4.1543291970925127</v>
      </c>
      <c r="E1027" t="s">
        <v>2040</v>
      </c>
      <c r="F1027">
        <f>Clothing!O67</f>
        <v>1</v>
      </c>
      <c r="G1027">
        <f>Clothing!P67</f>
        <v>1</v>
      </c>
      <c r="H1027">
        <f>Clothing!Q67</f>
        <v>2</v>
      </c>
      <c r="I1027">
        <f>Clothing!R67</f>
        <v>2</v>
      </c>
      <c r="J1027">
        <f>Clothing!S67</f>
        <v>2</v>
      </c>
      <c r="K1027">
        <f t="shared" si="17"/>
        <v>0.37356464144298934</v>
      </c>
    </row>
    <row r="1028" spans="1:11">
      <c r="A1028" t="s">
        <v>2042</v>
      </c>
      <c r="B1028">
        <f>Clothing!B68</f>
        <v>2017</v>
      </c>
      <c r="C1028" t="str">
        <f>Clothing!C68</f>
        <v>RUBBER</v>
      </c>
      <c r="D1028">
        <f>Clothing!M68</f>
        <v>9.1955171874832384</v>
      </c>
      <c r="E1028" t="s">
        <v>2040</v>
      </c>
      <c r="F1028">
        <f>Clothing!O68</f>
        <v>1</v>
      </c>
      <c r="G1028">
        <f>Clothing!P68</f>
        <v>1</v>
      </c>
      <c r="H1028">
        <f>Clothing!Q68</f>
        <v>2</v>
      </c>
      <c r="I1028">
        <f>Clothing!R68</f>
        <v>2</v>
      </c>
      <c r="J1028">
        <f>Clothing!S68</f>
        <v>2</v>
      </c>
      <c r="K1028">
        <f t="shared" si="17"/>
        <v>0.37356464144298934</v>
      </c>
    </row>
    <row r="1029" spans="1:11">
      <c r="A1029" t="s">
        <v>2042</v>
      </c>
      <c r="B1029">
        <f>Clothing!B69</f>
        <v>2018</v>
      </c>
      <c r="C1029" t="str">
        <f>Clothing!C69</f>
        <v>Acryl</v>
      </c>
      <c r="D1029">
        <f>Clothing!M69</f>
        <v>9.1757064372995902</v>
      </c>
      <c r="E1029" t="s">
        <v>2040</v>
      </c>
      <c r="F1029">
        <f>Clothing!O69</f>
        <v>1</v>
      </c>
      <c r="G1029">
        <f>Clothing!P69</f>
        <v>1</v>
      </c>
      <c r="H1029">
        <f>Clothing!Q69</f>
        <v>2</v>
      </c>
      <c r="I1029">
        <f>Clothing!R69</f>
        <v>2</v>
      </c>
      <c r="J1029">
        <f>Clothing!S69</f>
        <v>2</v>
      </c>
      <c r="K1029">
        <f t="shared" si="17"/>
        <v>0.37356464144298934</v>
      </c>
    </row>
    <row r="1030" spans="1:11">
      <c r="A1030" t="s">
        <v>2042</v>
      </c>
      <c r="B1030">
        <f>Clothing!B70</f>
        <v>2018</v>
      </c>
      <c r="C1030" t="str">
        <f>Clothing!C70</f>
        <v>OTHER</v>
      </c>
      <c r="D1030">
        <f>Clothing!M70</f>
        <v>14.738003701977945</v>
      </c>
      <c r="E1030" t="s">
        <v>2040</v>
      </c>
      <c r="F1030">
        <f>Clothing!O70</f>
        <v>1</v>
      </c>
      <c r="G1030">
        <f>Clothing!P70</f>
        <v>1</v>
      </c>
      <c r="H1030">
        <f>Clothing!Q70</f>
        <v>2</v>
      </c>
      <c r="I1030">
        <f>Clothing!R70</f>
        <v>2</v>
      </c>
      <c r="J1030">
        <f>Clothing!S70</f>
        <v>2</v>
      </c>
      <c r="K1030">
        <f t="shared" si="17"/>
        <v>0.37356464144298934</v>
      </c>
    </row>
    <row r="1031" spans="1:11">
      <c r="A1031" t="s">
        <v>2042</v>
      </c>
      <c r="B1031">
        <f>Clothing!B71</f>
        <v>2018</v>
      </c>
      <c r="C1031" t="str">
        <f>Clothing!C71</f>
        <v>PA</v>
      </c>
      <c r="D1031">
        <f>Clothing!M71</f>
        <v>21.210498607417922</v>
      </c>
      <c r="E1031" t="s">
        <v>2040</v>
      </c>
      <c r="F1031">
        <f>Clothing!O71</f>
        <v>1</v>
      </c>
      <c r="G1031">
        <f>Clothing!P71</f>
        <v>1</v>
      </c>
      <c r="H1031">
        <f>Clothing!Q71</f>
        <v>2</v>
      </c>
      <c r="I1031">
        <f>Clothing!R71</f>
        <v>2</v>
      </c>
      <c r="J1031">
        <f>Clothing!S71</f>
        <v>2</v>
      </c>
      <c r="K1031">
        <f t="shared" si="17"/>
        <v>0.37356464144298934</v>
      </c>
    </row>
    <row r="1032" spans="1:11">
      <c r="A1032" t="s">
        <v>2042</v>
      </c>
      <c r="B1032">
        <f>Clothing!B72</f>
        <v>2018</v>
      </c>
      <c r="C1032" t="str">
        <f>Clothing!C72</f>
        <v>PET</v>
      </c>
      <c r="D1032">
        <f>Clothing!M72</f>
        <v>111.92144528071512</v>
      </c>
      <c r="E1032" t="s">
        <v>2040</v>
      </c>
      <c r="F1032">
        <f>Clothing!O72</f>
        <v>1</v>
      </c>
      <c r="G1032">
        <f>Clothing!P72</f>
        <v>1</v>
      </c>
      <c r="H1032">
        <f>Clothing!Q72</f>
        <v>2</v>
      </c>
      <c r="I1032">
        <f>Clothing!R72</f>
        <v>2</v>
      </c>
      <c r="J1032">
        <f>Clothing!S72</f>
        <v>2</v>
      </c>
      <c r="K1032">
        <f t="shared" si="17"/>
        <v>0.37356464144298934</v>
      </c>
    </row>
    <row r="1033" spans="1:11">
      <c r="A1033" t="s">
        <v>2042</v>
      </c>
      <c r="B1033">
        <f>Clothing!B73</f>
        <v>2018</v>
      </c>
      <c r="C1033" t="str">
        <f>Clothing!C73</f>
        <v>PUR</v>
      </c>
      <c r="D1033">
        <f>Clothing!M73</f>
        <v>7.1976662178122375</v>
      </c>
      <c r="E1033" t="s">
        <v>2040</v>
      </c>
      <c r="F1033">
        <f>Clothing!O73</f>
        <v>1</v>
      </c>
      <c r="G1033">
        <f>Clothing!P73</f>
        <v>1</v>
      </c>
      <c r="H1033">
        <f>Clothing!Q73</f>
        <v>2</v>
      </c>
      <c r="I1033">
        <f>Clothing!R73</f>
        <v>2</v>
      </c>
      <c r="J1033">
        <f>Clothing!S73</f>
        <v>2</v>
      </c>
      <c r="K1033">
        <f t="shared" si="17"/>
        <v>0.37356464144298934</v>
      </c>
    </row>
    <row r="1034" spans="1:11">
      <c r="A1034" t="s">
        <v>2042</v>
      </c>
      <c r="B1034">
        <f>Clothing!B74</f>
        <v>2018</v>
      </c>
      <c r="C1034" t="str">
        <f>Clothing!C74</f>
        <v>PVC</v>
      </c>
      <c r="D1034">
        <f>Clothing!M74</f>
        <v>4.6695417533751042</v>
      </c>
      <c r="E1034" t="s">
        <v>2040</v>
      </c>
      <c r="F1034">
        <f>Clothing!O74</f>
        <v>1</v>
      </c>
      <c r="G1034">
        <f>Clothing!P74</f>
        <v>1</v>
      </c>
      <c r="H1034">
        <f>Clothing!Q74</f>
        <v>2</v>
      </c>
      <c r="I1034">
        <f>Clothing!R74</f>
        <v>2</v>
      </c>
      <c r="J1034">
        <f>Clothing!S74</f>
        <v>2</v>
      </c>
      <c r="K1034">
        <f t="shared" si="17"/>
        <v>0.37356464144298934</v>
      </c>
    </row>
    <row r="1035" spans="1:11">
      <c r="A1035" t="s">
        <v>2042</v>
      </c>
      <c r="B1035">
        <f>Clothing!B75</f>
        <v>2018</v>
      </c>
      <c r="C1035" t="str">
        <f>Clothing!C75</f>
        <v>RUBBER</v>
      </c>
      <c r="D1035">
        <f>Clothing!M75</f>
        <v>10.233896235162172</v>
      </c>
      <c r="E1035" t="s">
        <v>2040</v>
      </c>
      <c r="F1035">
        <f>Clothing!O75</f>
        <v>1</v>
      </c>
      <c r="G1035">
        <f>Clothing!P75</f>
        <v>1</v>
      </c>
      <c r="H1035">
        <f>Clothing!Q75</f>
        <v>2</v>
      </c>
      <c r="I1035">
        <f>Clothing!R75</f>
        <v>2</v>
      </c>
      <c r="J1035">
        <f>Clothing!S75</f>
        <v>2</v>
      </c>
      <c r="K1035">
        <f t="shared" si="17"/>
        <v>0.37356464144298934</v>
      </c>
    </row>
    <row r="1036" spans="1:11">
      <c r="A1036" t="s">
        <v>2042</v>
      </c>
      <c r="B1036">
        <f>Clothing!B76</f>
        <v>2019</v>
      </c>
      <c r="C1036" t="str">
        <f>Clothing!C76</f>
        <v>Acryl</v>
      </c>
      <c r="D1036">
        <f>Clothing!M76</f>
        <v>8.0538126810410127</v>
      </c>
      <c r="E1036" t="s">
        <v>2040</v>
      </c>
      <c r="F1036">
        <f>Clothing!O76</f>
        <v>1</v>
      </c>
      <c r="G1036">
        <f>Clothing!P76</f>
        <v>1</v>
      </c>
      <c r="H1036">
        <f>Clothing!Q76</f>
        <v>2</v>
      </c>
      <c r="I1036">
        <f>Clothing!R76</f>
        <v>2</v>
      </c>
      <c r="J1036">
        <f>Clothing!S76</f>
        <v>2</v>
      </c>
      <c r="K1036">
        <f t="shared" si="17"/>
        <v>0.37356464144298934</v>
      </c>
    </row>
    <row r="1037" spans="1:11">
      <c r="A1037" t="s">
        <v>2042</v>
      </c>
      <c r="B1037">
        <f>Clothing!B77</f>
        <v>2019</v>
      </c>
      <c r="C1037" t="str">
        <f>Clothing!C77</f>
        <v>OTHER</v>
      </c>
      <c r="D1037">
        <f>Clothing!M77</f>
        <v>13.438054786182695</v>
      </c>
      <c r="E1037" t="s">
        <v>2040</v>
      </c>
      <c r="F1037">
        <f>Clothing!O77</f>
        <v>1</v>
      </c>
      <c r="G1037">
        <f>Clothing!P77</f>
        <v>1</v>
      </c>
      <c r="H1037">
        <f>Clothing!Q77</f>
        <v>2</v>
      </c>
      <c r="I1037">
        <f>Clothing!R77</f>
        <v>2</v>
      </c>
      <c r="J1037">
        <f>Clothing!S77</f>
        <v>2</v>
      </c>
      <c r="K1037">
        <f t="shared" si="17"/>
        <v>0.37356464144298934</v>
      </c>
    </row>
    <row r="1038" spans="1:11">
      <c r="A1038" t="s">
        <v>2042</v>
      </c>
      <c r="B1038">
        <f>Clothing!B78</f>
        <v>2019</v>
      </c>
      <c r="C1038" t="str">
        <f>Clothing!C78</f>
        <v>PA</v>
      </c>
      <c r="D1038">
        <f>Clothing!M78</f>
        <v>19.193328596837528</v>
      </c>
      <c r="E1038" t="s">
        <v>2040</v>
      </c>
      <c r="F1038">
        <f>Clothing!O78</f>
        <v>1</v>
      </c>
      <c r="G1038">
        <f>Clothing!P78</f>
        <v>1</v>
      </c>
      <c r="H1038">
        <f>Clothing!Q78</f>
        <v>2</v>
      </c>
      <c r="I1038">
        <f>Clothing!R78</f>
        <v>2</v>
      </c>
      <c r="J1038">
        <f>Clothing!S78</f>
        <v>2</v>
      </c>
      <c r="K1038">
        <f t="shared" si="17"/>
        <v>0.37356464144298934</v>
      </c>
    </row>
    <row r="1039" spans="1:11">
      <c r="A1039" t="s">
        <v>2042</v>
      </c>
      <c r="B1039">
        <f>Clothing!B79</f>
        <v>2019</v>
      </c>
      <c r="C1039" t="str">
        <f>Clothing!C79</f>
        <v>PET</v>
      </c>
      <c r="D1039">
        <f>Clothing!M79</f>
        <v>102.67315702411695</v>
      </c>
      <c r="E1039" t="s">
        <v>2040</v>
      </c>
      <c r="F1039">
        <f>Clothing!O79</f>
        <v>1</v>
      </c>
      <c r="G1039">
        <f>Clothing!P79</f>
        <v>1</v>
      </c>
      <c r="H1039">
        <f>Clothing!Q79</f>
        <v>2</v>
      </c>
      <c r="I1039">
        <f>Clothing!R79</f>
        <v>2</v>
      </c>
      <c r="J1039">
        <f>Clothing!S79</f>
        <v>2</v>
      </c>
      <c r="K1039">
        <f t="shared" si="17"/>
        <v>0.37356464144298934</v>
      </c>
    </row>
    <row r="1040" spans="1:11">
      <c r="A1040" t="s">
        <v>2042</v>
      </c>
      <c r="B1040">
        <f>Clothing!B80</f>
        <v>2019</v>
      </c>
      <c r="C1040" t="str">
        <f>Clothing!C80</f>
        <v>PUR</v>
      </c>
      <c r="D1040">
        <f>Clothing!M80</f>
        <v>7.2072958099570652</v>
      </c>
      <c r="E1040" t="s">
        <v>2040</v>
      </c>
      <c r="F1040">
        <f>Clothing!O80</f>
        <v>1</v>
      </c>
      <c r="G1040">
        <f>Clothing!P80</f>
        <v>1</v>
      </c>
      <c r="H1040">
        <f>Clothing!Q80</f>
        <v>2</v>
      </c>
      <c r="I1040">
        <f>Clothing!R80</f>
        <v>2</v>
      </c>
      <c r="J1040">
        <f>Clothing!S80</f>
        <v>2</v>
      </c>
      <c r="K1040">
        <f t="shared" si="17"/>
        <v>0.37356464144298934</v>
      </c>
    </row>
    <row r="1041" spans="1:11">
      <c r="A1041" t="s">
        <v>2042</v>
      </c>
      <c r="B1041">
        <f>Clothing!B81</f>
        <v>2019</v>
      </c>
      <c r="C1041" t="str">
        <f>Clothing!C81</f>
        <v>PVC</v>
      </c>
      <c r="D1041">
        <f>Clothing!M81</f>
        <v>4.631900101817199</v>
      </c>
      <c r="E1041" t="s">
        <v>2040</v>
      </c>
      <c r="F1041">
        <f>Clothing!O81</f>
        <v>1</v>
      </c>
      <c r="G1041">
        <f>Clothing!P81</f>
        <v>1</v>
      </c>
      <c r="H1041">
        <f>Clothing!Q81</f>
        <v>2</v>
      </c>
      <c r="I1041">
        <f>Clothing!R81</f>
        <v>2</v>
      </c>
      <c r="J1041">
        <f>Clothing!S81</f>
        <v>2</v>
      </c>
      <c r="K1041">
        <f t="shared" si="17"/>
        <v>0.37356464144298934</v>
      </c>
    </row>
    <row r="1042" spans="1:11">
      <c r="A1042" t="s">
        <v>2042</v>
      </c>
      <c r="B1042">
        <f>Clothing!B82</f>
        <v>2019</v>
      </c>
      <c r="C1042" t="str">
        <f>Clothing!C82</f>
        <v>RUBBER</v>
      </c>
      <c r="D1042">
        <f>Clothing!M82</f>
        <v>9.4920099353899712</v>
      </c>
      <c r="E1042" t="s">
        <v>2040</v>
      </c>
      <c r="F1042">
        <f>Clothing!O82</f>
        <v>1</v>
      </c>
      <c r="G1042">
        <f>Clothing!P82</f>
        <v>1</v>
      </c>
      <c r="H1042">
        <f>Clothing!Q82</f>
        <v>2</v>
      </c>
      <c r="I1042">
        <f>Clothing!R82</f>
        <v>2</v>
      </c>
      <c r="J1042">
        <f>Clothing!S82</f>
        <v>2</v>
      </c>
      <c r="K1042">
        <f t="shared" si="17"/>
        <v>0.37356464144298934</v>
      </c>
    </row>
    <row r="1043" spans="1:11">
      <c r="A1043" t="s">
        <v>2042</v>
      </c>
      <c r="B1043">
        <f>Clothing!B83</f>
        <v>2020</v>
      </c>
      <c r="C1043" t="str">
        <f>Clothing!C83</f>
        <v>Acryl</v>
      </c>
      <c r="D1043">
        <f>Clothing!M83</f>
        <v>3.7521662011419648</v>
      </c>
      <c r="E1043" t="s">
        <v>2040</v>
      </c>
      <c r="F1043">
        <f>Clothing!O83</f>
        <v>1</v>
      </c>
      <c r="G1043">
        <f>Clothing!P83</f>
        <v>1</v>
      </c>
      <c r="H1043">
        <f>Clothing!Q83</f>
        <v>2</v>
      </c>
      <c r="I1043">
        <f>Clothing!R83</f>
        <v>2</v>
      </c>
      <c r="J1043">
        <f>Clothing!S83</f>
        <v>2</v>
      </c>
      <c r="K1043">
        <f t="shared" si="17"/>
        <v>0.37356464144298934</v>
      </c>
    </row>
    <row r="1044" spans="1:11">
      <c r="A1044" t="s">
        <v>2042</v>
      </c>
      <c r="B1044">
        <f>Clothing!B84</f>
        <v>2020</v>
      </c>
      <c r="C1044" t="str">
        <f>Clothing!C84</f>
        <v>OTHER</v>
      </c>
      <c r="D1044">
        <f>Clothing!M84</f>
        <v>5.3825003964120928</v>
      </c>
      <c r="E1044" t="s">
        <v>2040</v>
      </c>
      <c r="F1044">
        <f>Clothing!O84</f>
        <v>1</v>
      </c>
      <c r="G1044">
        <f>Clothing!P84</f>
        <v>1</v>
      </c>
      <c r="H1044">
        <f>Clothing!Q84</f>
        <v>2</v>
      </c>
      <c r="I1044">
        <f>Clothing!R84</f>
        <v>2</v>
      </c>
      <c r="J1044">
        <f>Clothing!S84</f>
        <v>2</v>
      </c>
      <c r="K1044">
        <f t="shared" si="17"/>
        <v>0.37356464144298934</v>
      </c>
    </row>
    <row r="1045" spans="1:11">
      <c r="A1045" t="s">
        <v>2042</v>
      </c>
      <c r="B1045">
        <f>Clothing!B85</f>
        <v>2020</v>
      </c>
      <c r="C1045" t="str">
        <f>Clothing!C85</f>
        <v>PA</v>
      </c>
      <c r="D1045">
        <f>Clothing!M85</f>
        <v>7.4280881459778962</v>
      </c>
      <c r="E1045" t="s">
        <v>2040</v>
      </c>
      <c r="F1045">
        <f>Clothing!O85</f>
        <v>1</v>
      </c>
      <c r="G1045">
        <f>Clothing!P85</f>
        <v>1</v>
      </c>
      <c r="H1045">
        <f>Clothing!Q85</f>
        <v>2</v>
      </c>
      <c r="I1045">
        <f>Clothing!R85</f>
        <v>2</v>
      </c>
      <c r="J1045">
        <f>Clothing!S85</f>
        <v>2</v>
      </c>
      <c r="K1045">
        <f t="shared" si="17"/>
        <v>0.37356464144298934</v>
      </c>
    </row>
    <row r="1046" spans="1:11">
      <c r="A1046" t="s">
        <v>2042</v>
      </c>
      <c r="B1046">
        <f>Clothing!B86</f>
        <v>2020</v>
      </c>
      <c r="C1046" t="str">
        <f>Clothing!C86</f>
        <v>PET</v>
      </c>
      <c r="D1046">
        <f>Clothing!M86</f>
        <v>39.477887103164328</v>
      </c>
      <c r="E1046" t="s">
        <v>2040</v>
      </c>
      <c r="F1046">
        <f>Clothing!O86</f>
        <v>1</v>
      </c>
      <c r="G1046">
        <f>Clothing!P86</f>
        <v>1</v>
      </c>
      <c r="H1046">
        <f>Clothing!Q86</f>
        <v>2</v>
      </c>
      <c r="I1046">
        <f>Clothing!R86</f>
        <v>2</v>
      </c>
      <c r="J1046">
        <f>Clothing!S86</f>
        <v>2</v>
      </c>
      <c r="K1046">
        <f t="shared" si="17"/>
        <v>0.37356464144298934</v>
      </c>
    </row>
    <row r="1047" spans="1:11">
      <c r="A1047" t="s">
        <v>2042</v>
      </c>
      <c r="B1047">
        <f>Clothing!B87</f>
        <v>2020</v>
      </c>
      <c r="C1047" t="str">
        <f>Clothing!C87</f>
        <v>PUR</v>
      </c>
      <c r="D1047">
        <f>Clothing!M87</f>
        <v>5.025895697432655</v>
      </c>
      <c r="E1047" t="s">
        <v>2040</v>
      </c>
      <c r="F1047">
        <f>Clothing!O87</f>
        <v>1</v>
      </c>
      <c r="G1047">
        <f>Clothing!P87</f>
        <v>1</v>
      </c>
      <c r="H1047">
        <f>Clothing!Q87</f>
        <v>2</v>
      </c>
      <c r="I1047">
        <f>Clothing!R87</f>
        <v>2</v>
      </c>
      <c r="J1047">
        <f>Clothing!S87</f>
        <v>2</v>
      </c>
      <c r="K1047">
        <f t="shared" si="17"/>
        <v>0.37356464144298934</v>
      </c>
    </row>
    <row r="1048" spans="1:11">
      <c r="A1048" t="s">
        <v>2042</v>
      </c>
      <c r="B1048">
        <f>Clothing!B88</f>
        <v>2020</v>
      </c>
      <c r="C1048" t="str">
        <f>Clothing!C88</f>
        <v>PVC</v>
      </c>
      <c r="D1048">
        <f>Clothing!M88</f>
        <v>3.1547157663767296</v>
      </c>
      <c r="E1048" t="s">
        <v>2040</v>
      </c>
      <c r="F1048">
        <f>Clothing!O88</f>
        <v>1</v>
      </c>
      <c r="G1048">
        <f>Clothing!P88</f>
        <v>1</v>
      </c>
      <c r="H1048">
        <f>Clothing!Q88</f>
        <v>2</v>
      </c>
      <c r="I1048">
        <f>Clothing!R88</f>
        <v>2</v>
      </c>
      <c r="J1048">
        <f>Clothing!S88</f>
        <v>2</v>
      </c>
      <c r="K1048">
        <f t="shared" si="17"/>
        <v>0.37356464144298934</v>
      </c>
    </row>
    <row r="1049" spans="1:11">
      <c r="A1049" t="s">
        <v>2042</v>
      </c>
      <c r="B1049">
        <f>Clothing!B89</f>
        <v>2020</v>
      </c>
      <c r="C1049" t="str">
        <f>Clothing!C89</f>
        <v>RUBBER</v>
      </c>
      <c r="D1049">
        <f>Clothing!M89</f>
        <v>5.4691001878639085</v>
      </c>
      <c r="E1049" t="s">
        <v>2040</v>
      </c>
      <c r="F1049">
        <f>Clothing!O89</f>
        <v>1</v>
      </c>
      <c r="G1049">
        <f>Clothing!P89</f>
        <v>1</v>
      </c>
      <c r="H1049">
        <f>Clothing!Q89</f>
        <v>2</v>
      </c>
      <c r="I1049">
        <f>Clothing!R89</f>
        <v>2</v>
      </c>
      <c r="J1049">
        <f>Clothing!S89</f>
        <v>2</v>
      </c>
      <c r="K1049">
        <f t="shared" si="17"/>
        <v>0.37356464144298934</v>
      </c>
    </row>
    <row r="1050" spans="1:11">
      <c r="A1050" t="s">
        <v>2042</v>
      </c>
      <c r="B1050">
        <f>Clothing!B90</f>
        <v>2021</v>
      </c>
      <c r="C1050" t="str">
        <f>Clothing!C90</f>
        <v>Acryl</v>
      </c>
      <c r="D1050">
        <f>Clothing!M90</f>
        <v>4.594997915829854</v>
      </c>
      <c r="E1050" t="s">
        <v>2040</v>
      </c>
      <c r="F1050">
        <f>Clothing!O90</f>
        <v>1</v>
      </c>
      <c r="G1050">
        <f>Clothing!P90</f>
        <v>1</v>
      </c>
      <c r="H1050">
        <f>Clothing!Q90</f>
        <v>2</v>
      </c>
      <c r="I1050">
        <f>Clothing!R90</f>
        <v>2</v>
      </c>
      <c r="J1050">
        <f>Clothing!S90</f>
        <v>2</v>
      </c>
      <c r="K1050">
        <f t="shared" si="17"/>
        <v>0.37356464144298934</v>
      </c>
    </row>
    <row r="1051" spans="1:11">
      <c r="A1051" t="s">
        <v>2042</v>
      </c>
      <c r="B1051">
        <f>Clothing!B91</f>
        <v>2021</v>
      </c>
      <c r="C1051" t="str">
        <f>Clothing!C91</f>
        <v>OTHER</v>
      </c>
      <c r="D1051">
        <f>Clothing!M91</f>
        <v>5.384051832790048</v>
      </c>
      <c r="E1051" t="s">
        <v>2040</v>
      </c>
      <c r="F1051">
        <f>Clothing!O91</f>
        <v>1</v>
      </c>
      <c r="G1051">
        <f>Clothing!P91</f>
        <v>1</v>
      </c>
      <c r="H1051">
        <f>Clothing!Q91</f>
        <v>2</v>
      </c>
      <c r="I1051">
        <f>Clothing!R91</f>
        <v>2</v>
      </c>
      <c r="J1051">
        <f>Clothing!S91</f>
        <v>2</v>
      </c>
      <c r="K1051">
        <f t="shared" si="17"/>
        <v>0.37356464144298934</v>
      </c>
    </row>
    <row r="1052" spans="1:11">
      <c r="A1052" t="s">
        <v>2042</v>
      </c>
      <c r="B1052">
        <f>Clothing!B92</f>
        <v>2021</v>
      </c>
      <c r="C1052" t="str">
        <f>Clothing!C92</f>
        <v>PA</v>
      </c>
      <c r="D1052">
        <f>Clothing!M92</f>
        <v>7.5051773773815027</v>
      </c>
      <c r="E1052" t="s">
        <v>2040</v>
      </c>
      <c r="F1052">
        <f>Clothing!O92</f>
        <v>1</v>
      </c>
      <c r="G1052">
        <f>Clothing!P92</f>
        <v>1</v>
      </c>
      <c r="H1052">
        <f>Clothing!Q92</f>
        <v>2</v>
      </c>
      <c r="I1052">
        <f>Clothing!R92</f>
        <v>2</v>
      </c>
      <c r="J1052">
        <f>Clothing!S92</f>
        <v>2</v>
      </c>
      <c r="K1052">
        <f t="shared" si="17"/>
        <v>0.37356464144298934</v>
      </c>
    </row>
    <row r="1053" spans="1:11">
      <c r="A1053" t="s">
        <v>2042</v>
      </c>
      <c r="B1053">
        <f>Clothing!B93</f>
        <v>2021</v>
      </c>
      <c r="C1053" t="str">
        <f>Clothing!C93</f>
        <v>PET</v>
      </c>
      <c r="D1053">
        <f>Clothing!M93</f>
        <v>41.62323736808608</v>
      </c>
      <c r="E1053" t="s">
        <v>2040</v>
      </c>
      <c r="F1053">
        <f>Clothing!O93</f>
        <v>1</v>
      </c>
      <c r="G1053">
        <f>Clothing!P93</f>
        <v>1</v>
      </c>
      <c r="H1053">
        <f>Clothing!Q93</f>
        <v>2</v>
      </c>
      <c r="I1053">
        <f>Clothing!R93</f>
        <v>2</v>
      </c>
      <c r="J1053">
        <f>Clothing!S93</f>
        <v>2</v>
      </c>
      <c r="K1053">
        <f t="shared" si="17"/>
        <v>0.37356464144298934</v>
      </c>
    </row>
    <row r="1054" spans="1:11">
      <c r="A1054" t="s">
        <v>2042</v>
      </c>
      <c r="B1054">
        <f>Clothing!B94</f>
        <v>2021</v>
      </c>
      <c r="C1054" t="str">
        <f>Clothing!C94</f>
        <v>PUR</v>
      </c>
      <c r="D1054">
        <f>Clothing!M94</f>
        <v>4.8643447723510471</v>
      </c>
      <c r="E1054" t="s">
        <v>2040</v>
      </c>
      <c r="F1054">
        <f>Clothing!O94</f>
        <v>1</v>
      </c>
      <c r="G1054">
        <f>Clothing!P94</f>
        <v>1</v>
      </c>
      <c r="H1054">
        <f>Clothing!Q94</f>
        <v>2</v>
      </c>
      <c r="I1054">
        <f>Clothing!R94</f>
        <v>2</v>
      </c>
      <c r="J1054">
        <f>Clothing!S94</f>
        <v>2</v>
      </c>
      <c r="K1054">
        <f t="shared" si="17"/>
        <v>0.37356464144298934</v>
      </c>
    </row>
    <row r="1055" spans="1:11">
      <c r="A1055" t="s">
        <v>2042</v>
      </c>
      <c r="B1055">
        <f>Clothing!B95</f>
        <v>2021</v>
      </c>
      <c r="C1055" t="str">
        <f>Clothing!C95</f>
        <v>PVC</v>
      </c>
      <c r="D1055">
        <f>Clothing!M95</f>
        <v>3.090029271101463</v>
      </c>
      <c r="E1055" t="s">
        <v>2040</v>
      </c>
      <c r="F1055">
        <f>Clothing!O95</f>
        <v>1</v>
      </c>
      <c r="G1055">
        <f>Clothing!P95</f>
        <v>1</v>
      </c>
      <c r="H1055">
        <f>Clothing!Q95</f>
        <v>2</v>
      </c>
      <c r="I1055">
        <f>Clothing!R95</f>
        <v>2</v>
      </c>
      <c r="J1055">
        <f>Clothing!S95</f>
        <v>2</v>
      </c>
      <c r="K1055">
        <f t="shared" si="17"/>
        <v>0.37356464144298934</v>
      </c>
    </row>
    <row r="1056" spans="1:11">
      <c r="A1056" t="s">
        <v>2042</v>
      </c>
      <c r="B1056">
        <f>Clothing!B96</f>
        <v>2021</v>
      </c>
      <c r="C1056" t="str">
        <f>Clothing!C96</f>
        <v>RUBBER</v>
      </c>
      <c r="D1056">
        <f>Clothing!M96</f>
        <v>5.9061444286261171</v>
      </c>
      <c r="E1056" t="s">
        <v>2040</v>
      </c>
      <c r="F1056">
        <f>Clothing!O96</f>
        <v>1</v>
      </c>
      <c r="G1056">
        <f>Clothing!P96</f>
        <v>1</v>
      </c>
      <c r="H1056">
        <f>Clothing!Q96</f>
        <v>2</v>
      </c>
      <c r="I1056">
        <f>Clothing!R96</f>
        <v>2</v>
      </c>
      <c r="J1056">
        <f>Clothing!S96</f>
        <v>2</v>
      </c>
      <c r="K1056">
        <f t="shared" si="17"/>
        <v>0.37356464144298934</v>
      </c>
    </row>
    <row r="1057" spans="1:11">
      <c r="A1057" t="s">
        <v>2042</v>
      </c>
      <c r="B1057">
        <f>Clothing!B97</f>
        <v>2022</v>
      </c>
      <c r="C1057" t="str">
        <f>Clothing!C97</f>
        <v>Acryl</v>
      </c>
      <c r="D1057">
        <f>Clothing!M97</f>
        <v>7.986805037536798</v>
      </c>
      <c r="E1057" t="s">
        <v>2040</v>
      </c>
      <c r="F1057">
        <f>Clothing!O97</f>
        <v>1</v>
      </c>
      <c r="G1057">
        <f>Clothing!P97</f>
        <v>1</v>
      </c>
      <c r="H1057">
        <f>Clothing!Q97</f>
        <v>2</v>
      </c>
      <c r="I1057">
        <f>Clothing!R97</f>
        <v>2</v>
      </c>
      <c r="J1057">
        <f>Clothing!S97</f>
        <v>2</v>
      </c>
      <c r="K1057">
        <f t="shared" si="17"/>
        <v>0.37356464144298934</v>
      </c>
    </row>
    <row r="1058" spans="1:11">
      <c r="A1058" t="s">
        <v>2042</v>
      </c>
      <c r="B1058">
        <f>Clothing!B98</f>
        <v>2022</v>
      </c>
      <c r="C1058" t="str">
        <f>Clothing!C98</f>
        <v>OTHER</v>
      </c>
      <c r="D1058">
        <f>Clothing!M98</f>
        <v>12.458653929462679</v>
      </c>
      <c r="E1058" t="s">
        <v>2040</v>
      </c>
      <c r="F1058">
        <f>Clothing!O98</f>
        <v>1</v>
      </c>
      <c r="G1058">
        <f>Clothing!P98</f>
        <v>1</v>
      </c>
      <c r="H1058">
        <f>Clothing!Q98</f>
        <v>2</v>
      </c>
      <c r="I1058">
        <f>Clothing!R98</f>
        <v>2</v>
      </c>
      <c r="J1058">
        <f>Clothing!S98</f>
        <v>2</v>
      </c>
      <c r="K1058">
        <f t="shared" si="17"/>
        <v>0.37356464144298934</v>
      </c>
    </row>
    <row r="1059" spans="1:11">
      <c r="A1059" t="s">
        <v>2042</v>
      </c>
      <c r="B1059">
        <f>Clothing!B99</f>
        <v>2022</v>
      </c>
      <c r="C1059" t="str">
        <f>Clothing!C99</f>
        <v>PA</v>
      </c>
      <c r="D1059">
        <f>Clothing!M99</f>
        <v>16.398798528732044</v>
      </c>
      <c r="E1059" t="s">
        <v>2040</v>
      </c>
      <c r="F1059">
        <f>Clothing!O99</f>
        <v>1</v>
      </c>
      <c r="G1059">
        <f>Clothing!P99</f>
        <v>1</v>
      </c>
      <c r="H1059">
        <f>Clothing!Q99</f>
        <v>2</v>
      </c>
      <c r="I1059">
        <f>Clothing!R99</f>
        <v>2</v>
      </c>
      <c r="J1059">
        <f>Clothing!S99</f>
        <v>2</v>
      </c>
      <c r="K1059">
        <f t="shared" si="17"/>
        <v>0.37356464144298934</v>
      </c>
    </row>
    <row r="1060" spans="1:11">
      <c r="A1060" t="s">
        <v>2042</v>
      </c>
      <c r="B1060">
        <f>Clothing!B100</f>
        <v>2022</v>
      </c>
      <c r="C1060" t="str">
        <f>Clothing!C100</f>
        <v>PET</v>
      </c>
      <c r="D1060">
        <f>Clothing!M100</f>
        <v>84.676714672076201</v>
      </c>
      <c r="E1060" t="s">
        <v>2040</v>
      </c>
      <c r="F1060">
        <f>Clothing!O100</f>
        <v>1</v>
      </c>
      <c r="G1060">
        <f>Clothing!P100</f>
        <v>1</v>
      </c>
      <c r="H1060">
        <f>Clothing!Q100</f>
        <v>2</v>
      </c>
      <c r="I1060">
        <f>Clothing!R100</f>
        <v>2</v>
      </c>
      <c r="J1060">
        <f>Clothing!S100</f>
        <v>2</v>
      </c>
      <c r="K1060">
        <f t="shared" si="17"/>
        <v>0.37356464144298934</v>
      </c>
    </row>
    <row r="1061" spans="1:11">
      <c r="A1061" t="s">
        <v>2042</v>
      </c>
      <c r="B1061">
        <f>Clothing!B101</f>
        <v>2022</v>
      </c>
      <c r="C1061" t="str">
        <f>Clothing!C101</f>
        <v>PUR</v>
      </c>
      <c r="D1061">
        <f>Clothing!M101</f>
        <v>7.4218751208711859</v>
      </c>
      <c r="E1061" t="s">
        <v>2040</v>
      </c>
      <c r="F1061">
        <f>Clothing!O101</f>
        <v>1</v>
      </c>
      <c r="G1061">
        <f>Clothing!P101</f>
        <v>1</v>
      </c>
      <c r="H1061">
        <f>Clothing!Q101</f>
        <v>2</v>
      </c>
      <c r="I1061">
        <f>Clothing!R101</f>
        <v>2</v>
      </c>
      <c r="J1061">
        <f>Clothing!S101</f>
        <v>2</v>
      </c>
      <c r="K1061">
        <f t="shared" si="17"/>
        <v>0.37356464144298934</v>
      </c>
    </row>
    <row r="1062" spans="1:11">
      <c r="A1062" t="s">
        <v>2042</v>
      </c>
      <c r="B1062">
        <f>Clothing!B102</f>
        <v>2022</v>
      </c>
      <c r="C1062" t="str">
        <f>Clothing!C102</f>
        <v>PVC</v>
      </c>
      <c r="D1062">
        <f>Clothing!M102</f>
        <v>4.7925539020966559</v>
      </c>
      <c r="E1062" t="s">
        <v>2040</v>
      </c>
      <c r="F1062">
        <f>Clothing!O102</f>
        <v>1</v>
      </c>
      <c r="G1062">
        <f>Clothing!P102</f>
        <v>1</v>
      </c>
      <c r="H1062">
        <f>Clothing!Q102</f>
        <v>2</v>
      </c>
      <c r="I1062">
        <f>Clothing!R102</f>
        <v>2</v>
      </c>
      <c r="J1062">
        <f>Clothing!S102</f>
        <v>2</v>
      </c>
      <c r="K1062">
        <f t="shared" si="17"/>
        <v>0.37356464144298934</v>
      </c>
    </row>
    <row r="1063" spans="1:11">
      <c r="A1063" t="s">
        <v>2042</v>
      </c>
      <c r="B1063">
        <f>Clothing!B103</f>
        <v>2022</v>
      </c>
      <c r="C1063" t="str">
        <f>Clothing!C103</f>
        <v>RUBBER</v>
      </c>
      <c r="D1063">
        <f>Clothing!M103</f>
        <v>10.065696963701427</v>
      </c>
      <c r="E1063" t="s">
        <v>2040</v>
      </c>
      <c r="F1063">
        <f>Clothing!O103</f>
        <v>1</v>
      </c>
      <c r="G1063">
        <f>Clothing!P103</f>
        <v>1</v>
      </c>
      <c r="H1063">
        <f>Clothing!Q103</f>
        <v>2</v>
      </c>
      <c r="I1063">
        <f>Clothing!R103</f>
        <v>2</v>
      </c>
      <c r="J1063">
        <f>Clothing!S103</f>
        <v>2</v>
      </c>
      <c r="K1063">
        <f t="shared" si="17"/>
        <v>0.37356464144298934</v>
      </c>
    </row>
    <row r="1064" spans="1:11">
      <c r="A1064" t="s">
        <v>2042</v>
      </c>
      <c r="B1064">
        <f>Clothing!B20</f>
        <v>2011</v>
      </c>
      <c r="C1064" t="str">
        <f>Clothing!C20</f>
        <v>Acryl</v>
      </c>
      <c r="D1064">
        <f>Clothing!N20</f>
        <v>9.8965516471895363</v>
      </c>
      <c r="E1064" t="s">
        <v>2041</v>
      </c>
      <c r="F1064">
        <f>Clothing!O20</f>
        <v>1</v>
      </c>
      <c r="G1064">
        <f>Clothing!P20</f>
        <v>1</v>
      </c>
      <c r="H1064">
        <f>Clothing!Q20</f>
        <v>2</v>
      </c>
      <c r="I1064">
        <f>Clothing!R20</f>
        <v>2</v>
      </c>
      <c r="J1064">
        <f>Clothing!S20</f>
        <v>2</v>
      </c>
      <c r="K1064">
        <f t="shared" si="17"/>
        <v>0.37356464144298934</v>
      </c>
    </row>
    <row r="1065" spans="1:11">
      <c r="A1065" t="s">
        <v>2042</v>
      </c>
      <c r="B1065">
        <f>Clothing!B21</f>
        <v>2011</v>
      </c>
      <c r="C1065" t="str">
        <f>Clothing!C21</f>
        <v>OTHER</v>
      </c>
      <c r="D1065">
        <f>Clothing!N21</f>
        <v>14.876130047182658</v>
      </c>
      <c r="E1065" t="s">
        <v>2041</v>
      </c>
      <c r="F1065">
        <f>Clothing!O21</f>
        <v>1</v>
      </c>
      <c r="G1065">
        <f>Clothing!P21</f>
        <v>1</v>
      </c>
      <c r="H1065">
        <f>Clothing!Q21</f>
        <v>2</v>
      </c>
      <c r="I1065">
        <f>Clothing!R21</f>
        <v>2</v>
      </c>
      <c r="J1065">
        <f>Clothing!S21</f>
        <v>2</v>
      </c>
      <c r="K1065">
        <f t="shared" si="17"/>
        <v>0.37356464144298934</v>
      </c>
    </row>
    <row r="1066" spans="1:11">
      <c r="A1066" t="s">
        <v>2042</v>
      </c>
      <c r="B1066">
        <f>Clothing!B22</f>
        <v>2011</v>
      </c>
      <c r="C1066" t="str">
        <f>Clothing!C22</f>
        <v>PA</v>
      </c>
      <c r="D1066">
        <f>Clothing!N22</f>
        <v>23.227729834428246</v>
      </c>
      <c r="E1066" t="s">
        <v>2041</v>
      </c>
      <c r="F1066">
        <f>Clothing!O22</f>
        <v>1</v>
      </c>
      <c r="G1066">
        <f>Clothing!P22</f>
        <v>1</v>
      </c>
      <c r="H1066">
        <f>Clothing!Q22</f>
        <v>2</v>
      </c>
      <c r="I1066">
        <f>Clothing!R22</f>
        <v>2</v>
      </c>
      <c r="J1066">
        <f>Clothing!S22</f>
        <v>2</v>
      </c>
      <c r="K1066">
        <f t="shared" si="17"/>
        <v>0.37356464144298934</v>
      </c>
    </row>
    <row r="1067" spans="1:11">
      <c r="A1067" t="s">
        <v>2042</v>
      </c>
      <c r="B1067">
        <f>Clothing!B23</f>
        <v>2011</v>
      </c>
      <c r="C1067" t="str">
        <f>Clothing!C23</f>
        <v>PET</v>
      </c>
      <c r="D1067">
        <f>Clothing!N23</f>
        <v>108.75636380599956</v>
      </c>
      <c r="E1067" t="s">
        <v>2041</v>
      </c>
      <c r="F1067">
        <f>Clothing!O23</f>
        <v>1</v>
      </c>
      <c r="G1067">
        <f>Clothing!P23</f>
        <v>1</v>
      </c>
      <c r="H1067">
        <f>Clothing!Q23</f>
        <v>2</v>
      </c>
      <c r="I1067">
        <f>Clothing!R23</f>
        <v>2</v>
      </c>
      <c r="J1067">
        <f>Clothing!S23</f>
        <v>2</v>
      </c>
      <c r="K1067">
        <f t="shared" si="17"/>
        <v>0.37356464144298934</v>
      </c>
    </row>
    <row r="1068" spans="1:11">
      <c r="A1068" t="s">
        <v>2042</v>
      </c>
      <c r="B1068">
        <f>Clothing!B24</f>
        <v>2011</v>
      </c>
      <c r="C1068" t="str">
        <f>Clothing!C24</f>
        <v>PUR</v>
      </c>
      <c r="D1068">
        <f>Clothing!N24</f>
        <v>7.9565218466763472</v>
      </c>
      <c r="E1068" t="s">
        <v>2041</v>
      </c>
      <c r="F1068">
        <f>Clothing!O24</f>
        <v>1</v>
      </c>
      <c r="G1068">
        <f>Clothing!P24</f>
        <v>1</v>
      </c>
      <c r="H1068">
        <f>Clothing!Q24</f>
        <v>2</v>
      </c>
      <c r="I1068">
        <f>Clothing!R24</f>
        <v>2</v>
      </c>
      <c r="J1068">
        <f>Clothing!S24</f>
        <v>2</v>
      </c>
      <c r="K1068">
        <f t="shared" si="17"/>
        <v>0.37356464144298934</v>
      </c>
    </row>
    <row r="1069" spans="1:11">
      <c r="A1069" t="s">
        <v>2042</v>
      </c>
      <c r="B1069">
        <f>Clothing!B25</f>
        <v>2011</v>
      </c>
      <c r="C1069" t="str">
        <f>Clothing!C25</f>
        <v>PVC</v>
      </c>
      <c r="D1069">
        <f>Clothing!N25</f>
        <v>5.16678915123991</v>
      </c>
      <c r="E1069" t="s">
        <v>2041</v>
      </c>
      <c r="F1069">
        <f>Clothing!O25</f>
        <v>1</v>
      </c>
      <c r="G1069">
        <f>Clothing!P25</f>
        <v>1</v>
      </c>
      <c r="H1069">
        <f>Clothing!Q25</f>
        <v>2</v>
      </c>
      <c r="I1069">
        <f>Clothing!R25</f>
        <v>2</v>
      </c>
      <c r="J1069">
        <f>Clothing!S25</f>
        <v>2</v>
      </c>
      <c r="K1069">
        <f t="shared" si="17"/>
        <v>0.37356464144298934</v>
      </c>
    </row>
    <row r="1070" spans="1:11">
      <c r="A1070" t="s">
        <v>2042</v>
      </c>
      <c r="B1070">
        <f>Clothing!B26</f>
        <v>2011</v>
      </c>
      <c r="C1070" t="str">
        <f>Clothing!C26</f>
        <v>RUBBER</v>
      </c>
      <c r="D1070">
        <f>Clothing!N26</f>
        <v>11.533611301688179</v>
      </c>
      <c r="E1070" t="s">
        <v>2041</v>
      </c>
      <c r="F1070">
        <f>Clothing!O26</f>
        <v>1</v>
      </c>
      <c r="G1070">
        <f>Clothing!P26</f>
        <v>1</v>
      </c>
      <c r="H1070">
        <f>Clothing!Q26</f>
        <v>2</v>
      </c>
      <c r="I1070">
        <f>Clothing!R26</f>
        <v>2</v>
      </c>
      <c r="J1070">
        <f>Clothing!S26</f>
        <v>2</v>
      </c>
      <c r="K1070">
        <f t="shared" si="17"/>
        <v>0.37356464144298934</v>
      </c>
    </row>
    <row r="1071" spans="1:11">
      <c r="A1071" t="s">
        <v>2042</v>
      </c>
      <c r="B1071">
        <f>Clothing!B27</f>
        <v>2012</v>
      </c>
      <c r="C1071" t="str">
        <f>Clothing!C27</f>
        <v>Acryl</v>
      </c>
      <c r="D1071">
        <f>Clothing!N27</f>
        <v>8.1476729611628631</v>
      </c>
      <c r="E1071" t="s">
        <v>2041</v>
      </c>
      <c r="F1071">
        <f>Clothing!O27</f>
        <v>1</v>
      </c>
      <c r="G1071">
        <f>Clothing!P27</f>
        <v>1</v>
      </c>
      <c r="H1071">
        <f>Clothing!Q27</f>
        <v>2</v>
      </c>
      <c r="I1071">
        <f>Clothing!R27</f>
        <v>2</v>
      </c>
      <c r="J1071">
        <f>Clothing!S27</f>
        <v>2</v>
      </c>
      <c r="K1071">
        <f t="shared" si="17"/>
        <v>0.37356464144298934</v>
      </c>
    </row>
    <row r="1072" spans="1:11">
      <c r="A1072" t="s">
        <v>2042</v>
      </c>
      <c r="B1072">
        <f>Clothing!B28</f>
        <v>2012</v>
      </c>
      <c r="C1072" t="str">
        <f>Clothing!C28</f>
        <v>OTHER</v>
      </c>
      <c r="D1072">
        <f>Clothing!N28</f>
        <v>11.414076570083315</v>
      </c>
      <c r="E1072" t="s">
        <v>2041</v>
      </c>
      <c r="F1072">
        <f>Clothing!O28</f>
        <v>1</v>
      </c>
      <c r="G1072">
        <f>Clothing!P28</f>
        <v>1</v>
      </c>
      <c r="H1072">
        <f>Clothing!Q28</f>
        <v>2</v>
      </c>
      <c r="I1072">
        <f>Clothing!R28</f>
        <v>2</v>
      </c>
      <c r="J1072">
        <f>Clothing!S28</f>
        <v>2</v>
      </c>
      <c r="K1072">
        <f t="shared" si="17"/>
        <v>0.37356464144298934</v>
      </c>
    </row>
    <row r="1073" spans="1:11">
      <c r="A1073" t="s">
        <v>2042</v>
      </c>
      <c r="B1073">
        <f>Clothing!B29</f>
        <v>2012</v>
      </c>
      <c r="C1073" t="str">
        <f>Clothing!C29</f>
        <v>PA</v>
      </c>
      <c r="D1073">
        <f>Clothing!N29</f>
        <v>17.402647386526361</v>
      </c>
      <c r="E1073" t="s">
        <v>2041</v>
      </c>
      <c r="F1073">
        <f>Clothing!O29</f>
        <v>1</v>
      </c>
      <c r="G1073">
        <f>Clothing!P29</f>
        <v>1</v>
      </c>
      <c r="H1073">
        <f>Clothing!Q29</f>
        <v>2</v>
      </c>
      <c r="I1073">
        <f>Clothing!R29</f>
        <v>2</v>
      </c>
      <c r="J1073">
        <f>Clothing!S29</f>
        <v>2</v>
      </c>
      <c r="K1073">
        <f t="shared" si="17"/>
        <v>0.37356464144298934</v>
      </c>
    </row>
    <row r="1074" spans="1:11">
      <c r="A1074" t="s">
        <v>2042</v>
      </c>
      <c r="B1074">
        <f>Clothing!B30</f>
        <v>2012</v>
      </c>
      <c r="C1074" t="str">
        <f>Clothing!C30</f>
        <v>PET</v>
      </c>
      <c r="D1074">
        <f>Clothing!N30</f>
        <v>100.79524955387372</v>
      </c>
      <c r="E1074" t="s">
        <v>2041</v>
      </c>
      <c r="F1074">
        <f>Clothing!O30</f>
        <v>1</v>
      </c>
      <c r="G1074">
        <f>Clothing!P30</f>
        <v>1</v>
      </c>
      <c r="H1074">
        <f>Clothing!Q30</f>
        <v>2</v>
      </c>
      <c r="I1074">
        <f>Clothing!R30</f>
        <v>2</v>
      </c>
      <c r="J1074">
        <f>Clothing!S30</f>
        <v>2</v>
      </c>
      <c r="K1074">
        <f t="shared" si="17"/>
        <v>0.37356464144298934</v>
      </c>
    </row>
    <row r="1075" spans="1:11">
      <c r="A1075" t="s">
        <v>2042</v>
      </c>
      <c r="B1075">
        <f>Clothing!B31</f>
        <v>2012</v>
      </c>
      <c r="C1075" t="str">
        <f>Clothing!C31</f>
        <v>PUR</v>
      </c>
      <c r="D1075">
        <f>Clothing!N31</f>
        <v>6.8095774627558114</v>
      </c>
      <c r="E1075" t="s">
        <v>2041</v>
      </c>
      <c r="F1075">
        <f>Clothing!O31</f>
        <v>1</v>
      </c>
      <c r="G1075">
        <f>Clothing!P31</f>
        <v>1</v>
      </c>
      <c r="H1075">
        <f>Clothing!Q31</f>
        <v>2</v>
      </c>
      <c r="I1075">
        <f>Clothing!R31</f>
        <v>2</v>
      </c>
      <c r="J1075">
        <f>Clothing!S31</f>
        <v>2</v>
      </c>
      <c r="K1075">
        <f t="shared" si="17"/>
        <v>0.37356464144298934</v>
      </c>
    </row>
    <row r="1076" spans="1:11">
      <c r="A1076" t="s">
        <v>2042</v>
      </c>
      <c r="B1076">
        <f>Clothing!B32</f>
        <v>2012</v>
      </c>
      <c r="C1076" t="str">
        <f>Clothing!C32</f>
        <v>PVC</v>
      </c>
      <c r="D1076">
        <f>Clothing!N32</f>
        <v>4.3743003704061225</v>
      </c>
      <c r="E1076" t="s">
        <v>2041</v>
      </c>
      <c r="F1076">
        <f>Clothing!O32</f>
        <v>1</v>
      </c>
      <c r="G1076">
        <f>Clothing!P32</f>
        <v>1</v>
      </c>
      <c r="H1076">
        <f>Clothing!Q32</f>
        <v>2</v>
      </c>
      <c r="I1076">
        <f>Clothing!R32</f>
        <v>2</v>
      </c>
      <c r="J1076">
        <f>Clothing!S32</f>
        <v>2</v>
      </c>
      <c r="K1076">
        <f t="shared" si="17"/>
        <v>0.37356464144298934</v>
      </c>
    </row>
    <row r="1077" spans="1:11">
      <c r="A1077" t="s">
        <v>2042</v>
      </c>
      <c r="B1077">
        <f>Clothing!B33</f>
        <v>2012</v>
      </c>
      <c r="C1077" t="str">
        <f>Clothing!C33</f>
        <v>RUBBER</v>
      </c>
      <c r="D1077">
        <f>Clothing!N33</f>
        <v>9.2080228377046573</v>
      </c>
      <c r="E1077" t="s">
        <v>2041</v>
      </c>
      <c r="F1077">
        <f>Clothing!O33</f>
        <v>1</v>
      </c>
      <c r="G1077">
        <f>Clothing!P33</f>
        <v>1</v>
      </c>
      <c r="H1077">
        <f>Clothing!Q33</f>
        <v>2</v>
      </c>
      <c r="I1077">
        <f>Clothing!R33</f>
        <v>2</v>
      </c>
      <c r="J1077">
        <f>Clothing!S33</f>
        <v>2</v>
      </c>
      <c r="K1077">
        <f t="shared" si="17"/>
        <v>0.37356464144298934</v>
      </c>
    </row>
    <row r="1078" spans="1:11">
      <c r="A1078" t="s">
        <v>2042</v>
      </c>
      <c r="B1078">
        <f>Clothing!B34</f>
        <v>2013</v>
      </c>
      <c r="C1078" t="str">
        <f>Clothing!C34</f>
        <v>Acryl</v>
      </c>
      <c r="D1078">
        <f>Clothing!N34</f>
        <v>8.7611135264876179</v>
      </c>
      <c r="E1078" t="s">
        <v>2041</v>
      </c>
      <c r="F1078">
        <f>Clothing!O34</f>
        <v>1</v>
      </c>
      <c r="G1078">
        <f>Clothing!P34</f>
        <v>1</v>
      </c>
      <c r="H1078">
        <f>Clothing!Q34</f>
        <v>2</v>
      </c>
      <c r="I1078">
        <f>Clothing!R34</f>
        <v>2</v>
      </c>
      <c r="J1078">
        <f>Clothing!S34</f>
        <v>2</v>
      </c>
      <c r="K1078">
        <f t="shared" si="17"/>
        <v>0.37356464144298934</v>
      </c>
    </row>
    <row r="1079" spans="1:11">
      <c r="A1079" t="s">
        <v>2042</v>
      </c>
      <c r="B1079">
        <f>Clothing!B35</f>
        <v>2013</v>
      </c>
      <c r="C1079" t="str">
        <f>Clothing!C35</f>
        <v>OTHER</v>
      </c>
      <c r="D1079">
        <f>Clothing!N35</f>
        <v>14.241640470548941</v>
      </c>
      <c r="E1079" t="s">
        <v>2041</v>
      </c>
      <c r="F1079">
        <f>Clothing!O35</f>
        <v>1</v>
      </c>
      <c r="G1079">
        <f>Clothing!P35</f>
        <v>1</v>
      </c>
      <c r="H1079">
        <f>Clothing!Q35</f>
        <v>2</v>
      </c>
      <c r="I1079">
        <f>Clothing!R35</f>
        <v>2</v>
      </c>
      <c r="J1079">
        <f>Clothing!S35</f>
        <v>2</v>
      </c>
      <c r="K1079">
        <f t="shared" si="17"/>
        <v>0.37356464144298934</v>
      </c>
    </row>
    <row r="1080" spans="1:11">
      <c r="A1080" t="s">
        <v>2042</v>
      </c>
      <c r="B1080">
        <f>Clothing!B36</f>
        <v>2013</v>
      </c>
      <c r="C1080" t="str">
        <f>Clothing!C36</f>
        <v>PA</v>
      </c>
      <c r="D1080">
        <f>Clothing!N36</f>
        <v>19.384356704926898</v>
      </c>
      <c r="E1080" t="s">
        <v>2041</v>
      </c>
      <c r="F1080">
        <f>Clothing!O36</f>
        <v>1</v>
      </c>
      <c r="G1080">
        <f>Clothing!P36</f>
        <v>1</v>
      </c>
      <c r="H1080">
        <f>Clothing!Q36</f>
        <v>2</v>
      </c>
      <c r="I1080">
        <f>Clothing!R36</f>
        <v>2</v>
      </c>
      <c r="J1080">
        <f>Clothing!S36</f>
        <v>2</v>
      </c>
      <c r="K1080">
        <f t="shared" si="17"/>
        <v>0.37356464144298934</v>
      </c>
    </row>
    <row r="1081" spans="1:11">
      <c r="A1081" t="s">
        <v>2042</v>
      </c>
      <c r="B1081">
        <f>Clothing!B37</f>
        <v>2013</v>
      </c>
      <c r="C1081" t="str">
        <f>Clothing!C37</f>
        <v>PET</v>
      </c>
      <c r="D1081">
        <f>Clothing!N37</f>
        <v>113.10580840758217</v>
      </c>
      <c r="E1081" t="s">
        <v>2041</v>
      </c>
      <c r="F1081">
        <f>Clothing!O37</f>
        <v>1</v>
      </c>
      <c r="G1081">
        <f>Clothing!P37</f>
        <v>1</v>
      </c>
      <c r="H1081">
        <f>Clothing!Q37</f>
        <v>2</v>
      </c>
      <c r="I1081">
        <f>Clothing!R37</f>
        <v>2</v>
      </c>
      <c r="J1081">
        <f>Clothing!S37</f>
        <v>2</v>
      </c>
      <c r="K1081">
        <f t="shared" si="17"/>
        <v>0.37356464144298934</v>
      </c>
    </row>
    <row r="1082" spans="1:11">
      <c r="A1082" t="s">
        <v>2042</v>
      </c>
      <c r="B1082">
        <f>Clothing!B38</f>
        <v>2013</v>
      </c>
      <c r="C1082" t="str">
        <f>Clothing!C38</f>
        <v>PUR</v>
      </c>
      <c r="D1082">
        <f>Clothing!N38</f>
        <v>7.0895369872401242</v>
      </c>
      <c r="E1082" t="s">
        <v>2041</v>
      </c>
      <c r="F1082">
        <f>Clothing!O38</f>
        <v>1</v>
      </c>
      <c r="G1082">
        <f>Clothing!P38</f>
        <v>1</v>
      </c>
      <c r="H1082">
        <f>Clothing!Q38</f>
        <v>2</v>
      </c>
      <c r="I1082">
        <f>Clothing!R38</f>
        <v>2</v>
      </c>
      <c r="J1082">
        <f>Clothing!S38</f>
        <v>2</v>
      </c>
      <c r="K1082">
        <f t="shared" si="17"/>
        <v>0.37356464144298934</v>
      </c>
    </row>
    <row r="1083" spans="1:11">
      <c r="A1083" t="s">
        <v>2042</v>
      </c>
      <c r="B1083">
        <f>Clothing!B39</f>
        <v>2013</v>
      </c>
      <c r="C1083" t="str">
        <f>Clothing!C39</f>
        <v>PVC</v>
      </c>
      <c r="D1083">
        <f>Clothing!N39</f>
        <v>4.6291331517161707</v>
      </c>
      <c r="E1083" t="s">
        <v>2041</v>
      </c>
      <c r="F1083">
        <f>Clothing!O39</f>
        <v>1</v>
      </c>
      <c r="G1083">
        <f>Clothing!P39</f>
        <v>1</v>
      </c>
      <c r="H1083">
        <f>Clothing!Q39</f>
        <v>2</v>
      </c>
      <c r="I1083">
        <f>Clothing!R39</f>
        <v>2</v>
      </c>
      <c r="J1083">
        <f>Clothing!S39</f>
        <v>2</v>
      </c>
      <c r="K1083">
        <f t="shared" si="17"/>
        <v>0.37356464144298934</v>
      </c>
    </row>
    <row r="1084" spans="1:11">
      <c r="A1084" t="s">
        <v>2042</v>
      </c>
      <c r="B1084">
        <f>Clothing!B40</f>
        <v>2013</v>
      </c>
      <c r="C1084" t="str">
        <f>Clothing!C40</f>
        <v>RUBBER</v>
      </c>
      <c r="D1084">
        <f>Clothing!N40</f>
        <v>10.725039096137643</v>
      </c>
      <c r="E1084" t="s">
        <v>2041</v>
      </c>
      <c r="F1084">
        <f>Clothing!O40</f>
        <v>1</v>
      </c>
      <c r="G1084">
        <f>Clothing!P40</f>
        <v>1</v>
      </c>
      <c r="H1084">
        <f>Clothing!Q40</f>
        <v>2</v>
      </c>
      <c r="I1084">
        <f>Clothing!R40</f>
        <v>2</v>
      </c>
      <c r="J1084">
        <f>Clothing!S40</f>
        <v>2</v>
      </c>
      <c r="K1084">
        <f t="shared" si="17"/>
        <v>0.37356464144298934</v>
      </c>
    </row>
    <row r="1085" spans="1:11">
      <c r="A1085" t="s">
        <v>2042</v>
      </c>
      <c r="B1085">
        <f>Clothing!B41</f>
        <v>2014</v>
      </c>
      <c r="C1085" t="str">
        <f>Clothing!C41</f>
        <v>Acryl</v>
      </c>
      <c r="D1085">
        <f>Clothing!N41</f>
        <v>9.8126064335218377</v>
      </c>
      <c r="E1085" t="s">
        <v>2041</v>
      </c>
      <c r="F1085">
        <f>Clothing!O41</f>
        <v>1</v>
      </c>
      <c r="G1085">
        <f>Clothing!P41</f>
        <v>1</v>
      </c>
      <c r="H1085">
        <f>Clothing!Q41</f>
        <v>2</v>
      </c>
      <c r="I1085">
        <f>Clothing!R41</f>
        <v>2</v>
      </c>
      <c r="J1085">
        <f>Clothing!S41</f>
        <v>2</v>
      </c>
      <c r="K1085">
        <f t="shared" ref="K1085:K1147" si="18">IF( OR( ISBLANK(F1085),ISBLANK(G1085), ISBLANK(H1085), ISBLANK(I1085), ISBLANK(J1085) ), "", 1.5*SQRT(   EXP(2.21*(F1085-1)) + EXP(2.21*(G1085-1)) + EXP(2.21*(H1085-1)) + EXP(2.21*(I1085-1)) + EXP(2.21*J1085)   )/100*2.45 )</f>
        <v>0.37356464144298934</v>
      </c>
    </row>
    <row r="1086" spans="1:11">
      <c r="A1086" t="s">
        <v>2042</v>
      </c>
      <c r="B1086">
        <f>Clothing!B42</f>
        <v>2014</v>
      </c>
      <c r="C1086" t="str">
        <f>Clothing!C42</f>
        <v>OTHER</v>
      </c>
      <c r="D1086">
        <f>Clothing!N42</f>
        <v>17.361566838123306</v>
      </c>
      <c r="E1086" t="s">
        <v>2041</v>
      </c>
      <c r="F1086">
        <f>Clothing!O42</f>
        <v>1</v>
      </c>
      <c r="G1086">
        <f>Clothing!P42</f>
        <v>1</v>
      </c>
      <c r="H1086">
        <f>Clothing!Q42</f>
        <v>2</v>
      </c>
      <c r="I1086">
        <f>Clothing!R42</f>
        <v>2</v>
      </c>
      <c r="J1086">
        <f>Clothing!S42</f>
        <v>2</v>
      </c>
      <c r="K1086">
        <f t="shared" si="18"/>
        <v>0.37356464144298934</v>
      </c>
    </row>
    <row r="1087" spans="1:11">
      <c r="A1087" t="s">
        <v>2042</v>
      </c>
      <c r="B1087">
        <f>Clothing!B43</f>
        <v>2014</v>
      </c>
      <c r="C1087" t="str">
        <f>Clothing!C43</f>
        <v>PA</v>
      </c>
      <c r="D1087">
        <f>Clothing!N43</f>
        <v>22.816217915386837</v>
      </c>
      <c r="E1087" t="s">
        <v>2041</v>
      </c>
      <c r="F1087">
        <f>Clothing!O43</f>
        <v>1</v>
      </c>
      <c r="G1087">
        <f>Clothing!P43</f>
        <v>1</v>
      </c>
      <c r="H1087">
        <f>Clothing!Q43</f>
        <v>2</v>
      </c>
      <c r="I1087">
        <f>Clothing!R43</f>
        <v>2</v>
      </c>
      <c r="J1087">
        <f>Clothing!S43</f>
        <v>2</v>
      </c>
      <c r="K1087">
        <f t="shared" si="18"/>
        <v>0.37356464144298934</v>
      </c>
    </row>
    <row r="1088" spans="1:11">
      <c r="A1088" t="s">
        <v>2042</v>
      </c>
      <c r="B1088">
        <f>Clothing!B44</f>
        <v>2014</v>
      </c>
      <c r="C1088" t="str">
        <f>Clothing!C44</f>
        <v>PET</v>
      </c>
      <c r="D1088">
        <f>Clothing!N44</f>
        <v>130.72046331028713</v>
      </c>
      <c r="E1088" t="s">
        <v>2041</v>
      </c>
      <c r="F1088">
        <f>Clothing!O44</f>
        <v>1</v>
      </c>
      <c r="G1088">
        <f>Clothing!P44</f>
        <v>1</v>
      </c>
      <c r="H1088">
        <f>Clothing!Q44</f>
        <v>2</v>
      </c>
      <c r="I1088">
        <f>Clothing!R44</f>
        <v>2</v>
      </c>
      <c r="J1088">
        <f>Clothing!S44</f>
        <v>2</v>
      </c>
      <c r="K1088">
        <f t="shared" si="18"/>
        <v>0.37356464144298934</v>
      </c>
    </row>
    <row r="1089" spans="1:11">
      <c r="A1089" t="s">
        <v>2042</v>
      </c>
      <c r="B1089">
        <f>Clothing!B45</f>
        <v>2014</v>
      </c>
      <c r="C1089" t="str">
        <f>Clothing!C45</f>
        <v>PUR</v>
      </c>
      <c r="D1089">
        <f>Clothing!N45</f>
        <v>8.3861076613467969</v>
      </c>
      <c r="E1089" t="s">
        <v>2041</v>
      </c>
      <c r="F1089">
        <f>Clothing!O45</f>
        <v>1</v>
      </c>
      <c r="G1089">
        <f>Clothing!P45</f>
        <v>1</v>
      </c>
      <c r="H1089">
        <f>Clothing!Q45</f>
        <v>2</v>
      </c>
      <c r="I1089">
        <f>Clothing!R45</f>
        <v>2</v>
      </c>
      <c r="J1089">
        <f>Clothing!S45</f>
        <v>2</v>
      </c>
      <c r="K1089">
        <f t="shared" si="18"/>
        <v>0.37356464144298934</v>
      </c>
    </row>
    <row r="1090" spans="1:11">
      <c r="A1090" t="s">
        <v>2042</v>
      </c>
      <c r="B1090">
        <f>Clothing!B46</f>
        <v>2014</v>
      </c>
      <c r="C1090" t="str">
        <f>Clothing!C46</f>
        <v>PVC</v>
      </c>
      <c r="D1090">
        <f>Clothing!N46</f>
        <v>5.4715991951149521</v>
      </c>
      <c r="E1090" t="s">
        <v>2041</v>
      </c>
      <c r="F1090">
        <f>Clothing!O46</f>
        <v>1</v>
      </c>
      <c r="G1090">
        <f>Clothing!P46</f>
        <v>1</v>
      </c>
      <c r="H1090">
        <f>Clothing!Q46</f>
        <v>2</v>
      </c>
      <c r="I1090">
        <f>Clothing!R46</f>
        <v>2</v>
      </c>
      <c r="J1090">
        <f>Clothing!S46</f>
        <v>2</v>
      </c>
      <c r="K1090">
        <f t="shared" si="18"/>
        <v>0.37356464144298934</v>
      </c>
    </row>
    <row r="1091" spans="1:11">
      <c r="A1091" t="s">
        <v>2042</v>
      </c>
      <c r="B1091">
        <f>Clothing!B47</f>
        <v>2014</v>
      </c>
      <c r="C1091" t="str">
        <f>Clothing!C47</f>
        <v>RUBBER</v>
      </c>
      <c r="D1091">
        <f>Clothing!N47</f>
        <v>12.456162839780385</v>
      </c>
      <c r="E1091" t="s">
        <v>2041</v>
      </c>
      <c r="F1091">
        <f>Clothing!O47</f>
        <v>1</v>
      </c>
      <c r="G1091">
        <f>Clothing!P47</f>
        <v>1</v>
      </c>
      <c r="H1091">
        <f>Clothing!Q47</f>
        <v>2</v>
      </c>
      <c r="I1091">
        <f>Clothing!R47</f>
        <v>2</v>
      </c>
      <c r="J1091">
        <f>Clothing!S47</f>
        <v>2</v>
      </c>
      <c r="K1091">
        <f t="shared" si="18"/>
        <v>0.37356464144298934</v>
      </c>
    </row>
    <row r="1092" spans="1:11">
      <c r="A1092" t="s">
        <v>2042</v>
      </c>
      <c r="B1092">
        <f>Clothing!B48</f>
        <v>2015</v>
      </c>
      <c r="C1092" t="str">
        <f>Clothing!C48</f>
        <v>Acryl</v>
      </c>
      <c r="D1092">
        <f>Clothing!N48</f>
        <v>9.9594930384422451</v>
      </c>
      <c r="E1092" t="s">
        <v>2041</v>
      </c>
      <c r="F1092">
        <f>Clothing!O48</f>
        <v>1</v>
      </c>
      <c r="G1092">
        <f>Clothing!P48</f>
        <v>1</v>
      </c>
      <c r="H1092">
        <f>Clothing!Q48</f>
        <v>2</v>
      </c>
      <c r="I1092">
        <f>Clothing!R48</f>
        <v>2</v>
      </c>
      <c r="J1092">
        <f>Clothing!S48</f>
        <v>2</v>
      </c>
      <c r="K1092">
        <f t="shared" si="18"/>
        <v>0.37356464144298934</v>
      </c>
    </row>
    <row r="1093" spans="1:11">
      <c r="A1093" t="s">
        <v>2042</v>
      </c>
      <c r="B1093">
        <f>Clothing!B49</f>
        <v>2015</v>
      </c>
      <c r="C1093" t="str">
        <f>Clothing!C49</f>
        <v>OTHER</v>
      </c>
      <c r="D1093">
        <f>Clothing!N49</f>
        <v>16.811095173468157</v>
      </c>
      <c r="E1093" t="s">
        <v>2041</v>
      </c>
      <c r="F1093">
        <f>Clothing!O49</f>
        <v>1</v>
      </c>
      <c r="G1093">
        <f>Clothing!P49</f>
        <v>1</v>
      </c>
      <c r="H1093">
        <f>Clothing!Q49</f>
        <v>2</v>
      </c>
      <c r="I1093">
        <f>Clothing!R49</f>
        <v>2</v>
      </c>
      <c r="J1093">
        <f>Clothing!S49</f>
        <v>2</v>
      </c>
      <c r="K1093">
        <f t="shared" si="18"/>
        <v>0.37356464144298934</v>
      </c>
    </row>
    <row r="1094" spans="1:11">
      <c r="A1094" t="s">
        <v>2042</v>
      </c>
      <c r="B1094">
        <f>Clothing!B50</f>
        <v>2015</v>
      </c>
      <c r="C1094" t="str">
        <f>Clothing!C50</f>
        <v>PA</v>
      </c>
      <c r="D1094">
        <f>Clothing!N50</f>
        <v>22.007553334823431</v>
      </c>
      <c r="E1094" t="s">
        <v>2041</v>
      </c>
      <c r="F1094">
        <f>Clothing!O50</f>
        <v>1</v>
      </c>
      <c r="G1094">
        <f>Clothing!P50</f>
        <v>1</v>
      </c>
      <c r="H1094">
        <f>Clothing!Q50</f>
        <v>2</v>
      </c>
      <c r="I1094">
        <f>Clothing!R50</f>
        <v>2</v>
      </c>
      <c r="J1094">
        <f>Clothing!S50</f>
        <v>2</v>
      </c>
      <c r="K1094">
        <f t="shared" si="18"/>
        <v>0.37356464144298934</v>
      </c>
    </row>
    <row r="1095" spans="1:11">
      <c r="A1095" t="s">
        <v>2042</v>
      </c>
      <c r="B1095">
        <f>Clothing!B51</f>
        <v>2015</v>
      </c>
      <c r="C1095" t="str">
        <f>Clothing!C51</f>
        <v>PET</v>
      </c>
      <c r="D1095">
        <f>Clothing!N51</f>
        <v>127.93140448348987</v>
      </c>
      <c r="E1095" t="s">
        <v>2041</v>
      </c>
      <c r="F1095">
        <f>Clothing!O51</f>
        <v>1</v>
      </c>
      <c r="G1095">
        <f>Clothing!P51</f>
        <v>1</v>
      </c>
      <c r="H1095">
        <f>Clothing!Q51</f>
        <v>2</v>
      </c>
      <c r="I1095">
        <f>Clothing!R51</f>
        <v>2</v>
      </c>
      <c r="J1095">
        <f>Clothing!S51</f>
        <v>2</v>
      </c>
      <c r="K1095">
        <f t="shared" si="18"/>
        <v>0.37356464144298934</v>
      </c>
    </row>
    <row r="1096" spans="1:11">
      <c r="A1096" t="s">
        <v>2042</v>
      </c>
      <c r="B1096">
        <f>Clothing!B52</f>
        <v>2015</v>
      </c>
      <c r="C1096" t="str">
        <f>Clothing!C52</f>
        <v>PUR</v>
      </c>
      <c r="D1096">
        <f>Clothing!N52</f>
        <v>9.0707222073604878</v>
      </c>
      <c r="E1096" t="s">
        <v>2041</v>
      </c>
      <c r="F1096">
        <f>Clothing!O52</f>
        <v>1</v>
      </c>
      <c r="G1096">
        <f>Clothing!P52</f>
        <v>1</v>
      </c>
      <c r="H1096">
        <f>Clothing!Q52</f>
        <v>2</v>
      </c>
      <c r="I1096">
        <f>Clothing!R52</f>
        <v>2</v>
      </c>
      <c r="J1096">
        <f>Clothing!S52</f>
        <v>2</v>
      </c>
      <c r="K1096">
        <f t="shared" si="18"/>
        <v>0.37356464144298934</v>
      </c>
    </row>
    <row r="1097" spans="1:11">
      <c r="A1097" t="s">
        <v>2042</v>
      </c>
      <c r="B1097">
        <f>Clothing!B53</f>
        <v>2015</v>
      </c>
      <c r="C1097" t="str">
        <f>Clothing!C53</f>
        <v>PVC</v>
      </c>
      <c r="D1097">
        <f>Clothing!N53</f>
        <v>5.9137025493724877</v>
      </c>
      <c r="E1097" t="s">
        <v>2041</v>
      </c>
      <c r="F1097">
        <f>Clothing!O53</f>
        <v>1</v>
      </c>
      <c r="G1097">
        <f>Clothing!P53</f>
        <v>1</v>
      </c>
      <c r="H1097">
        <f>Clothing!Q53</f>
        <v>2</v>
      </c>
      <c r="I1097">
        <f>Clothing!R53</f>
        <v>2</v>
      </c>
      <c r="J1097">
        <f>Clothing!S53</f>
        <v>2</v>
      </c>
      <c r="K1097">
        <f t="shared" si="18"/>
        <v>0.37356464144298934</v>
      </c>
    </row>
    <row r="1098" spans="1:11">
      <c r="A1098" t="s">
        <v>2042</v>
      </c>
      <c r="B1098">
        <f>Clothing!B54</f>
        <v>2015</v>
      </c>
      <c r="C1098" t="str">
        <f>Clothing!C54</f>
        <v>RUBBER</v>
      </c>
      <c r="D1098">
        <f>Clothing!N54</f>
        <v>13.609060366786755</v>
      </c>
      <c r="E1098" t="s">
        <v>2041</v>
      </c>
      <c r="F1098">
        <f>Clothing!O54</f>
        <v>1</v>
      </c>
      <c r="G1098">
        <f>Clothing!P54</f>
        <v>1</v>
      </c>
      <c r="H1098">
        <f>Clothing!Q54</f>
        <v>2</v>
      </c>
      <c r="I1098">
        <f>Clothing!R54</f>
        <v>2</v>
      </c>
      <c r="J1098">
        <f>Clothing!S54</f>
        <v>2</v>
      </c>
      <c r="K1098">
        <f t="shared" si="18"/>
        <v>0.37356464144298934</v>
      </c>
    </row>
    <row r="1099" spans="1:11">
      <c r="A1099" t="s">
        <v>2042</v>
      </c>
      <c r="B1099">
        <f>Clothing!B55</f>
        <v>2016</v>
      </c>
      <c r="C1099" t="str">
        <f>Clothing!C55</f>
        <v>Acryl</v>
      </c>
      <c r="D1099">
        <f>Clothing!N55</f>
        <v>10.27818545581767</v>
      </c>
      <c r="E1099" t="s">
        <v>2041</v>
      </c>
      <c r="F1099">
        <f>Clothing!O55</f>
        <v>1</v>
      </c>
      <c r="G1099">
        <f>Clothing!P55</f>
        <v>1</v>
      </c>
      <c r="H1099">
        <f>Clothing!Q55</f>
        <v>2</v>
      </c>
      <c r="I1099">
        <f>Clothing!R55</f>
        <v>2</v>
      </c>
      <c r="J1099">
        <f>Clothing!S55</f>
        <v>2</v>
      </c>
      <c r="K1099">
        <f t="shared" si="18"/>
        <v>0.37356464144298934</v>
      </c>
    </row>
    <row r="1100" spans="1:11">
      <c r="A1100" t="s">
        <v>2042</v>
      </c>
      <c r="B1100">
        <f>Clothing!B56</f>
        <v>2016</v>
      </c>
      <c r="C1100" t="str">
        <f>Clothing!C56</f>
        <v>OTHER</v>
      </c>
      <c r="D1100">
        <f>Clothing!N56</f>
        <v>17.616845887836863</v>
      </c>
      <c r="E1100" t="s">
        <v>2041</v>
      </c>
      <c r="F1100">
        <f>Clothing!O56</f>
        <v>1</v>
      </c>
      <c r="G1100">
        <f>Clothing!P56</f>
        <v>1</v>
      </c>
      <c r="H1100">
        <f>Clothing!Q56</f>
        <v>2</v>
      </c>
      <c r="I1100">
        <f>Clothing!R56</f>
        <v>2</v>
      </c>
      <c r="J1100">
        <f>Clothing!S56</f>
        <v>2</v>
      </c>
      <c r="K1100">
        <f t="shared" si="18"/>
        <v>0.37356464144298934</v>
      </c>
    </row>
    <row r="1101" spans="1:11">
      <c r="A1101" t="s">
        <v>2042</v>
      </c>
      <c r="B1101">
        <f>Clothing!B57</f>
        <v>2016</v>
      </c>
      <c r="C1101" t="str">
        <f>Clothing!C57</f>
        <v>PA</v>
      </c>
      <c r="D1101">
        <f>Clothing!N57</f>
        <v>24.258386222411637</v>
      </c>
      <c r="E1101" t="s">
        <v>2041</v>
      </c>
      <c r="F1101">
        <f>Clothing!O57</f>
        <v>1</v>
      </c>
      <c r="G1101">
        <f>Clothing!P57</f>
        <v>1</v>
      </c>
      <c r="H1101">
        <f>Clothing!Q57</f>
        <v>2</v>
      </c>
      <c r="I1101">
        <f>Clothing!R57</f>
        <v>2</v>
      </c>
      <c r="J1101">
        <f>Clothing!S57</f>
        <v>2</v>
      </c>
      <c r="K1101">
        <f t="shared" si="18"/>
        <v>0.37356464144298934</v>
      </c>
    </row>
    <row r="1102" spans="1:11">
      <c r="A1102" t="s">
        <v>2042</v>
      </c>
      <c r="B1102">
        <f>Clothing!B58</f>
        <v>2016</v>
      </c>
      <c r="C1102" t="str">
        <f>Clothing!C58</f>
        <v>PET</v>
      </c>
      <c r="D1102">
        <f>Clothing!N58</f>
        <v>136.98489737994421</v>
      </c>
      <c r="E1102" t="s">
        <v>2041</v>
      </c>
      <c r="F1102">
        <f>Clothing!O58</f>
        <v>1</v>
      </c>
      <c r="G1102">
        <f>Clothing!P58</f>
        <v>1</v>
      </c>
      <c r="H1102">
        <f>Clothing!Q58</f>
        <v>2</v>
      </c>
      <c r="I1102">
        <f>Clothing!R58</f>
        <v>2</v>
      </c>
      <c r="J1102">
        <f>Clothing!S58</f>
        <v>2</v>
      </c>
      <c r="K1102">
        <f t="shared" si="18"/>
        <v>0.37356464144298934</v>
      </c>
    </row>
    <row r="1103" spans="1:11">
      <c r="A1103" t="s">
        <v>2042</v>
      </c>
      <c r="B1103">
        <f>Clothing!B59</f>
        <v>2016</v>
      </c>
      <c r="C1103" t="str">
        <f>Clothing!C59</f>
        <v>PUR</v>
      </c>
      <c r="D1103">
        <f>Clothing!N59</f>
        <v>9.2078962298739544</v>
      </c>
      <c r="E1103" t="s">
        <v>2041</v>
      </c>
      <c r="F1103">
        <f>Clothing!O59</f>
        <v>1</v>
      </c>
      <c r="G1103">
        <f>Clothing!P59</f>
        <v>1</v>
      </c>
      <c r="H1103">
        <f>Clothing!Q59</f>
        <v>2</v>
      </c>
      <c r="I1103">
        <f>Clothing!R59</f>
        <v>2</v>
      </c>
      <c r="J1103">
        <f>Clothing!S59</f>
        <v>2</v>
      </c>
      <c r="K1103">
        <f t="shared" si="18"/>
        <v>0.37356464144298934</v>
      </c>
    </row>
    <row r="1104" spans="1:11">
      <c r="A1104" t="s">
        <v>2042</v>
      </c>
      <c r="B1104">
        <f>Clothing!B60</f>
        <v>2016</v>
      </c>
      <c r="C1104" t="str">
        <f>Clothing!C60</f>
        <v>PVC</v>
      </c>
      <c r="D1104">
        <f>Clothing!N60</f>
        <v>5.9473171320752023</v>
      </c>
      <c r="E1104" t="s">
        <v>2041</v>
      </c>
      <c r="F1104">
        <f>Clothing!O60</f>
        <v>1</v>
      </c>
      <c r="G1104">
        <f>Clothing!P60</f>
        <v>1</v>
      </c>
      <c r="H1104">
        <f>Clothing!Q60</f>
        <v>2</v>
      </c>
      <c r="I1104">
        <f>Clothing!R60</f>
        <v>2</v>
      </c>
      <c r="J1104">
        <f>Clothing!S60</f>
        <v>2</v>
      </c>
      <c r="K1104">
        <f t="shared" si="18"/>
        <v>0.37356464144298934</v>
      </c>
    </row>
    <row r="1105" spans="1:11">
      <c r="A1105" t="s">
        <v>2042</v>
      </c>
      <c r="B1105">
        <f>Clothing!B61</f>
        <v>2016</v>
      </c>
      <c r="C1105" t="str">
        <f>Clothing!C61</f>
        <v>RUBBER</v>
      </c>
      <c r="D1105">
        <f>Clothing!N61</f>
        <v>12.740182771984092</v>
      </c>
      <c r="E1105" t="s">
        <v>2041</v>
      </c>
      <c r="F1105">
        <f>Clothing!O61</f>
        <v>1</v>
      </c>
      <c r="G1105">
        <f>Clothing!P61</f>
        <v>1</v>
      </c>
      <c r="H1105">
        <f>Clothing!Q61</f>
        <v>2</v>
      </c>
      <c r="I1105">
        <f>Clothing!R61</f>
        <v>2</v>
      </c>
      <c r="J1105">
        <f>Clothing!S61</f>
        <v>2</v>
      </c>
      <c r="K1105">
        <f t="shared" si="18"/>
        <v>0.37356464144298934</v>
      </c>
    </row>
    <row r="1106" spans="1:11">
      <c r="A1106" t="s">
        <v>2042</v>
      </c>
      <c r="B1106">
        <f>Clothing!B62</f>
        <v>2017</v>
      </c>
      <c r="C1106" t="str">
        <f>Clothing!C62</f>
        <v>Acryl</v>
      </c>
      <c r="D1106">
        <f>Clothing!N62</f>
        <v>10.32342258569162</v>
      </c>
      <c r="E1106" t="s">
        <v>2041</v>
      </c>
      <c r="F1106">
        <f>Clothing!O62</f>
        <v>1</v>
      </c>
      <c r="G1106">
        <f>Clothing!P62</f>
        <v>1</v>
      </c>
      <c r="H1106">
        <f>Clothing!Q62</f>
        <v>2</v>
      </c>
      <c r="I1106">
        <f>Clothing!R62</f>
        <v>2</v>
      </c>
      <c r="J1106">
        <f>Clothing!S62</f>
        <v>2</v>
      </c>
      <c r="K1106">
        <f t="shared" si="18"/>
        <v>0.37356464144298934</v>
      </c>
    </row>
    <row r="1107" spans="1:11">
      <c r="A1107" t="s">
        <v>2042</v>
      </c>
      <c r="B1107">
        <f>Clothing!B63</f>
        <v>2017</v>
      </c>
      <c r="C1107" t="str">
        <f>Clothing!C63</f>
        <v>OTHER</v>
      </c>
      <c r="D1107">
        <f>Clothing!N63</f>
        <v>15.958853220560753</v>
      </c>
      <c r="E1107" t="s">
        <v>2041</v>
      </c>
      <c r="F1107">
        <f>Clothing!O63</f>
        <v>1</v>
      </c>
      <c r="G1107">
        <f>Clothing!P63</f>
        <v>1</v>
      </c>
      <c r="H1107">
        <f>Clothing!Q63</f>
        <v>2</v>
      </c>
      <c r="I1107">
        <f>Clothing!R63</f>
        <v>2</v>
      </c>
      <c r="J1107">
        <f>Clothing!S63</f>
        <v>2</v>
      </c>
      <c r="K1107">
        <f t="shared" si="18"/>
        <v>0.37356464144298934</v>
      </c>
    </row>
    <row r="1108" spans="1:11">
      <c r="A1108" t="s">
        <v>2042</v>
      </c>
      <c r="B1108">
        <f>Clothing!B64</f>
        <v>2017</v>
      </c>
      <c r="C1108" t="str">
        <f>Clothing!C64</f>
        <v>PA</v>
      </c>
      <c r="D1108">
        <f>Clothing!N64</f>
        <v>22.336326765916748</v>
      </c>
      <c r="E1108" t="s">
        <v>2041</v>
      </c>
      <c r="F1108">
        <f>Clothing!O64</f>
        <v>1</v>
      </c>
      <c r="G1108">
        <f>Clothing!P64</f>
        <v>1</v>
      </c>
      <c r="H1108">
        <f>Clothing!Q64</f>
        <v>2</v>
      </c>
      <c r="I1108">
        <f>Clothing!R64</f>
        <v>2</v>
      </c>
      <c r="J1108">
        <f>Clothing!S64</f>
        <v>2</v>
      </c>
      <c r="K1108">
        <f t="shared" si="18"/>
        <v>0.37356464144298934</v>
      </c>
    </row>
    <row r="1109" spans="1:11">
      <c r="A1109" t="s">
        <v>2042</v>
      </c>
      <c r="B1109">
        <f>Clothing!B65</f>
        <v>2017</v>
      </c>
      <c r="C1109" t="str">
        <f>Clothing!C65</f>
        <v>PET</v>
      </c>
      <c r="D1109">
        <f>Clothing!N65</f>
        <v>119.04892152030617</v>
      </c>
      <c r="E1109" t="s">
        <v>2041</v>
      </c>
      <c r="F1109">
        <f>Clothing!O65</f>
        <v>1</v>
      </c>
      <c r="G1109">
        <f>Clothing!P65</f>
        <v>1</v>
      </c>
      <c r="H1109">
        <f>Clothing!Q65</f>
        <v>2</v>
      </c>
      <c r="I1109">
        <f>Clothing!R65</f>
        <v>2</v>
      </c>
      <c r="J1109">
        <f>Clothing!S65</f>
        <v>2</v>
      </c>
      <c r="K1109">
        <f t="shared" si="18"/>
        <v>0.37356464144298934</v>
      </c>
    </row>
    <row r="1110" spans="1:11">
      <c r="A1110" t="s">
        <v>2042</v>
      </c>
      <c r="B1110">
        <f>Clothing!B66</f>
        <v>2017</v>
      </c>
      <c r="C1110" t="str">
        <f>Clothing!C66</f>
        <v>PUR</v>
      </c>
      <c r="D1110">
        <f>Clothing!N66</f>
        <v>7.8169608423343524</v>
      </c>
      <c r="E1110" t="s">
        <v>2041</v>
      </c>
      <c r="F1110">
        <f>Clothing!O66</f>
        <v>1</v>
      </c>
      <c r="G1110">
        <f>Clothing!P66</f>
        <v>1</v>
      </c>
      <c r="H1110">
        <f>Clothing!Q66</f>
        <v>2</v>
      </c>
      <c r="I1110">
        <f>Clothing!R66</f>
        <v>2</v>
      </c>
      <c r="J1110">
        <f>Clothing!S66</f>
        <v>2</v>
      </c>
      <c r="K1110">
        <f t="shared" si="18"/>
        <v>0.37356464144298934</v>
      </c>
    </row>
    <row r="1111" spans="1:11">
      <c r="A1111" t="s">
        <v>2042</v>
      </c>
      <c r="B1111">
        <f>Clothing!B67</f>
        <v>2017</v>
      </c>
      <c r="C1111" t="str">
        <f>Clothing!C67</f>
        <v>PVC</v>
      </c>
      <c r="D1111">
        <f>Clothing!N67</f>
        <v>5.0775134631130712</v>
      </c>
      <c r="E1111" t="s">
        <v>2041</v>
      </c>
      <c r="F1111">
        <f>Clothing!O67</f>
        <v>1</v>
      </c>
      <c r="G1111">
        <f>Clothing!P67</f>
        <v>1</v>
      </c>
      <c r="H1111">
        <f>Clothing!Q67</f>
        <v>2</v>
      </c>
      <c r="I1111">
        <f>Clothing!R67</f>
        <v>2</v>
      </c>
      <c r="J1111">
        <f>Clothing!S67</f>
        <v>2</v>
      </c>
      <c r="K1111">
        <f t="shared" si="18"/>
        <v>0.37356464144298934</v>
      </c>
    </row>
    <row r="1112" spans="1:11">
      <c r="A1112" t="s">
        <v>2042</v>
      </c>
      <c r="B1112">
        <f>Clothing!B68</f>
        <v>2017</v>
      </c>
      <c r="C1112" t="str">
        <f>Clothing!C68</f>
        <v>RUBBER</v>
      </c>
      <c r="D1112">
        <f>Clothing!N68</f>
        <v>11.238965451368404</v>
      </c>
      <c r="E1112" t="s">
        <v>2041</v>
      </c>
      <c r="F1112">
        <f>Clothing!O68</f>
        <v>1</v>
      </c>
      <c r="G1112">
        <f>Clothing!P68</f>
        <v>1</v>
      </c>
      <c r="H1112">
        <f>Clothing!Q68</f>
        <v>2</v>
      </c>
      <c r="I1112">
        <f>Clothing!R68</f>
        <v>2</v>
      </c>
      <c r="J1112">
        <f>Clothing!S68</f>
        <v>2</v>
      </c>
      <c r="K1112">
        <f t="shared" si="18"/>
        <v>0.37356464144298934</v>
      </c>
    </row>
    <row r="1113" spans="1:11">
      <c r="A1113" t="s">
        <v>2042</v>
      </c>
      <c r="B1113">
        <f>Clothing!B69</f>
        <v>2018</v>
      </c>
      <c r="C1113" t="str">
        <f>Clothing!C69</f>
        <v>Acryl</v>
      </c>
      <c r="D1113">
        <f>Clothing!N69</f>
        <v>11.214752312255055</v>
      </c>
      <c r="E1113" t="s">
        <v>2041</v>
      </c>
      <c r="F1113">
        <f>Clothing!O69</f>
        <v>1</v>
      </c>
      <c r="G1113">
        <f>Clothing!P69</f>
        <v>1</v>
      </c>
      <c r="H1113">
        <f>Clothing!Q69</f>
        <v>2</v>
      </c>
      <c r="I1113">
        <f>Clothing!R69</f>
        <v>2</v>
      </c>
      <c r="J1113">
        <f>Clothing!S69</f>
        <v>2</v>
      </c>
      <c r="K1113">
        <f t="shared" si="18"/>
        <v>0.37356464144298934</v>
      </c>
    </row>
    <row r="1114" spans="1:11">
      <c r="A1114" t="s">
        <v>2042</v>
      </c>
      <c r="B1114">
        <f>Clothing!B70</f>
        <v>2018</v>
      </c>
      <c r="C1114" t="str">
        <f>Clothing!C70</f>
        <v>OTHER</v>
      </c>
      <c r="D1114">
        <f>Clothing!N70</f>
        <v>18.013115635750822</v>
      </c>
      <c r="E1114" t="s">
        <v>2041</v>
      </c>
      <c r="F1114">
        <f>Clothing!O70</f>
        <v>1</v>
      </c>
      <c r="G1114">
        <f>Clothing!P70</f>
        <v>1</v>
      </c>
      <c r="H1114">
        <f>Clothing!Q70</f>
        <v>2</v>
      </c>
      <c r="I1114">
        <f>Clothing!R70</f>
        <v>2</v>
      </c>
      <c r="J1114">
        <f>Clothing!S70</f>
        <v>2</v>
      </c>
      <c r="K1114">
        <f t="shared" si="18"/>
        <v>0.37356464144298934</v>
      </c>
    </row>
    <row r="1115" spans="1:11">
      <c r="A1115" t="s">
        <v>2042</v>
      </c>
      <c r="B1115">
        <f>Clothing!B71</f>
        <v>2018</v>
      </c>
      <c r="C1115" t="str">
        <f>Clothing!C71</f>
        <v>PA</v>
      </c>
      <c r="D1115">
        <f>Clothing!N71</f>
        <v>25.923942742399682</v>
      </c>
      <c r="E1115" t="s">
        <v>2041</v>
      </c>
      <c r="F1115">
        <f>Clothing!O71</f>
        <v>1</v>
      </c>
      <c r="G1115">
        <f>Clothing!P71</f>
        <v>1</v>
      </c>
      <c r="H1115">
        <f>Clothing!Q71</f>
        <v>2</v>
      </c>
      <c r="I1115">
        <f>Clothing!R71</f>
        <v>2</v>
      </c>
      <c r="J1115">
        <f>Clothing!S71</f>
        <v>2</v>
      </c>
      <c r="K1115">
        <f t="shared" si="18"/>
        <v>0.37356464144298934</v>
      </c>
    </row>
    <row r="1116" spans="1:11">
      <c r="A1116" t="s">
        <v>2042</v>
      </c>
      <c r="B1116">
        <f>Clothing!B72</f>
        <v>2018</v>
      </c>
      <c r="C1116" t="str">
        <f>Clothing!C72</f>
        <v>PET</v>
      </c>
      <c r="D1116">
        <f>Clothing!N72</f>
        <v>136.79287756531849</v>
      </c>
      <c r="E1116" t="s">
        <v>2041</v>
      </c>
      <c r="F1116">
        <f>Clothing!O72</f>
        <v>1</v>
      </c>
      <c r="G1116">
        <f>Clothing!P72</f>
        <v>1</v>
      </c>
      <c r="H1116">
        <f>Clothing!Q72</f>
        <v>2</v>
      </c>
      <c r="I1116">
        <f>Clothing!R72</f>
        <v>2</v>
      </c>
      <c r="J1116">
        <f>Clothing!S72</f>
        <v>2</v>
      </c>
      <c r="K1116">
        <f t="shared" si="18"/>
        <v>0.37356464144298934</v>
      </c>
    </row>
    <row r="1117" spans="1:11">
      <c r="A1117" t="s">
        <v>2042</v>
      </c>
      <c r="B1117">
        <f>Clothing!B73</f>
        <v>2018</v>
      </c>
      <c r="C1117" t="str">
        <f>Clothing!C73</f>
        <v>PUR</v>
      </c>
      <c r="D1117">
        <f>Clothing!N73</f>
        <v>8.7971475995482908</v>
      </c>
      <c r="E1117" t="s">
        <v>2041</v>
      </c>
      <c r="F1117">
        <f>Clothing!O73</f>
        <v>1</v>
      </c>
      <c r="G1117">
        <f>Clothing!P73</f>
        <v>1</v>
      </c>
      <c r="H1117">
        <f>Clothing!Q73</f>
        <v>2</v>
      </c>
      <c r="I1117">
        <f>Clothing!R73</f>
        <v>2</v>
      </c>
      <c r="J1117">
        <f>Clothing!S73</f>
        <v>2</v>
      </c>
      <c r="K1117">
        <f t="shared" si="18"/>
        <v>0.37356464144298934</v>
      </c>
    </row>
    <row r="1118" spans="1:11">
      <c r="A1118" t="s">
        <v>2042</v>
      </c>
      <c r="B1118">
        <f>Clothing!B74</f>
        <v>2018</v>
      </c>
      <c r="C1118" t="str">
        <f>Clothing!C74</f>
        <v>PVC</v>
      </c>
      <c r="D1118">
        <f>Clothing!N74</f>
        <v>5.707217698569572</v>
      </c>
      <c r="E1118" t="s">
        <v>2041</v>
      </c>
      <c r="F1118">
        <f>Clothing!O74</f>
        <v>1</v>
      </c>
      <c r="G1118">
        <f>Clothing!P74</f>
        <v>1</v>
      </c>
      <c r="H1118">
        <f>Clothing!Q74</f>
        <v>2</v>
      </c>
      <c r="I1118">
        <f>Clothing!R74</f>
        <v>2</v>
      </c>
      <c r="J1118">
        <f>Clothing!S74</f>
        <v>2</v>
      </c>
      <c r="K1118">
        <f t="shared" si="18"/>
        <v>0.37356464144298934</v>
      </c>
    </row>
    <row r="1119" spans="1:11">
      <c r="A1119" t="s">
        <v>2042</v>
      </c>
      <c r="B1119">
        <f>Clothing!B75</f>
        <v>2018</v>
      </c>
      <c r="C1119" t="str">
        <f>Clothing!C75</f>
        <v>RUBBER</v>
      </c>
      <c r="D1119">
        <f>Clothing!N75</f>
        <v>12.508095398531545</v>
      </c>
      <c r="E1119" t="s">
        <v>2041</v>
      </c>
      <c r="F1119">
        <f>Clothing!O75</f>
        <v>1</v>
      </c>
      <c r="G1119">
        <f>Clothing!P75</f>
        <v>1</v>
      </c>
      <c r="H1119">
        <f>Clothing!Q75</f>
        <v>2</v>
      </c>
      <c r="I1119">
        <f>Clothing!R75</f>
        <v>2</v>
      </c>
      <c r="J1119">
        <f>Clothing!S75</f>
        <v>2</v>
      </c>
      <c r="K1119">
        <f t="shared" si="18"/>
        <v>0.37356464144298934</v>
      </c>
    </row>
    <row r="1120" spans="1:11">
      <c r="A1120" t="s">
        <v>2042</v>
      </c>
      <c r="B1120">
        <f>Clothing!B76</f>
        <v>2019</v>
      </c>
      <c r="C1120" t="str">
        <f>Clothing!C76</f>
        <v>Acryl</v>
      </c>
      <c r="D1120">
        <f>Clothing!N76</f>
        <v>9.8435488323834601</v>
      </c>
      <c r="E1120" t="s">
        <v>2041</v>
      </c>
      <c r="F1120">
        <f>Clothing!O76</f>
        <v>1</v>
      </c>
      <c r="G1120">
        <f>Clothing!P76</f>
        <v>1</v>
      </c>
      <c r="H1120">
        <f>Clothing!Q76</f>
        <v>2</v>
      </c>
      <c r="I1120">
        <f>Clothing!R76</f>
        <v>2</v>
      </c>
      <c r="J1120">
        <f>Clothing!S76</f>
        <v>2</v>
      </c>
      <c r="K1120">
        <f t="shared" si="18"/>
        <v>0.37356464144298934</v>
      </c>
    </row>
    <row r="1121" spans="1:11">
      <c r="A1121" t="s">
        <v>2042</v>
      </c>
      <c r="B1121">
        <f>Clothing!B77</f>
        <v>2019</v>
      </c>
      <c r="C1121" t="str">
        <f>Clothing!C77</f>
        <v>OTHER</v>
      </c>
      <c r="D1121">
        <f>Clothing!N77</f>
        <v>16.424289183112183</v>
      </c>
      <c r="E1121" t="s">
        <v>2041</v>
      </c>
      <c r="F1121">
        <f>Clothing!O77</f>
        <v>1</v>
      </c>
      <c r="G1121">
        <f>Clothing!P77</f>
        <v>1</v>
      </c>
      <c r="H1121">
        <f>Clothing!Q77</f>
        <v>2</v>
      </c>
      <c r="I1121">
        <f>Clothing!R77</f>
        <v>2</v>
      </c>
      <c r="J1121">
        <f>Clothing!S77</f>
        <v>2</v>
      </c>
      <c r="K1121">
        <f t="shared" si="18"/>
        <v>0.37356464144298934</v>
      </c>
    </row>
    <row r="1122" spans="1:11">
      <c r="A1122" t="s">
        <v>2042</v>
      </c>
      <c r="B1122">
        <f>Clothing!B78</f>
        <v>2019</v>
      </c>
      <c r="C1122" t="str">
        <f>Clothing!C78</f>
        <v>PA</v>
      </c>
      <c r="D1122">
        <f>Clothing!N78</f>
        <v>23.45851272946809</v>
      </c>
      <c r="E1122" t="s">
        <v>2041</v>
      </c>
      <c r="F1122">
        <f>Clothing!O78</f>
        <v>1</v>
      </c>
      <c r="G1122">
        <f>Clothing!P78</f>
        <v>1</v>
      </c>
      <c r="H1122">
        <f>Clothing!Q78</f>
        <v>2</v>
      </c>
      <c r="I1122">
        <f>Clothing!R78</f>
        <v>2</v>
      </c>
      <c r="J1122">
        <f>Clothing!S78</f>
        <v>2</v>
      </c>
      <c r="K1122">
        <f t="shared" si="18"/>
        <v>0.37356464144298934</v>
      </c>
    </row>
    <row r="1123" spans="1:11">
      <c r="A1123" t="s">
        <v>2042</v>
      </c>
      <c r="B1123">
        <f>Clothing!B79</f>
        <v>2019</v>
      </c>
      <c r="C1123" t="str">
        <f>Clothing!C79</f>
        <v>PET</v>
      </c>
      <c r="D1123">
        <f>Clothing!N79</f>
        <v>125.4894141405874</v>
      </c>
      <c r="E1123" t="s">
        <v>2041</v>
      </c>
      <c r="F1123">
        <f>Clothing!O79</f>
        <v>1</v>
      </c>
      <c r="G1123">
        <f>Clothing!P79</f>
        <v>1</v>
      </c>
      <c r="H1123">
        <f>Clothing!Q79</f>
        <v>2</v>
      </c>
      <c r="I1123">
        <f>Clothing!R79</f>
        <v>2</v>
      </c>
      <c r="J1123">
        <f>Clothing!S79</f>
        <v>2</v>
      </c>
      <c r="K1123">
        <f t="shared" si="18"/>
        <v>0.37356464144298934</v>
      </c>
    </row>
    <row r="1124" spans="1:11">
      <c r="A1124" t="s">
        <v>2042</v>
      </c>
      <c r="B1124">
        <f>Clothing!B80</f>
        <v>2019</v>
      </c>
      <c r="C1124" t="str">
        <f>Clothing!C80</f>
        <v>PUR</v>
      </c>
      <c r="D1124">
        <f>Clothing!N80</f>
        <v>8.8089171010586362</v>
      </c>
      <c r="E1124" t="s">
        <v>2041</v>
      </c>
      <c r="F1124">
        <f>Clothing!O80</f>
        <v>1</v>
      </c>
      <c r="G1124">
        <f>Clothing!P80</f>
        <v>1</v>
      </c>
      <c r="H1124">
        <f>Clothing!Q80</f>
        <v>2</v>
      </c>
      <c r="I1124">
        <f>Clothing!R80</f>
        <v>2</v>
      </c>
      <c r="J1124">
        <f>Clothing!S80</f>
        <v>2</v>
      </c>
      <c r="K1124">
        <f t="shared" si="18"/>
        <v>0.37356464144298934</v>
      </c>
    </row>
    <row r="1125" spans="1:11">
      <c r="A1125" t="s">
        <v>2042</v>
      </c>
      <c r="B1125">
        <f>Clothing!B81</f>
        <v>2019</v>
      </c>
      <c r="C1125" t="str">
        <f>Clothing!C81</f>
        <v>PVC</v>
      </c>
      <c r="D1125">
        <f>Clothing!N81</f>
        <v>5.6612112355543545</v>
      </c>
      <c r="E1125" t="s">
        <v>2041</v>
      </c>
      <c r="F1125">
        <f>Clothing!O81</f>
        <v>1</v>
      </c>
      <c r="G1125">
        <f>Clothing!P81</f>
        <v>1</v>
      </c>
      <c r="H1125">
        <f>Clothing!Q81</f>
        <v>2</v>
      </c>
      <c r="I1125">
        <f>Clothing!R81</f>
        <v>2</v>
      </c>
      <c r="J1125">
        <f>Clothing!S81</f>
        <v>2</v>
      </c>
      <c r="K1125">
        <f t="shared" si="18"/>
        <v>0.37356464144298934</v>
      </c>
    </row>
    <row r="1126" spans="1:11">
      <c r="A1126" t="s">
        <v>2042</v>
      </c>
      <c r="B1126">
        <f>Clothing!B82</f>
        <v>2019</v>
      </c>
      <c r="C1126" t="str">
        <f>Clothing!C82</f>
        <v>RUBBER</v>
      </c>
      <c r="D1126">
        <f>Clothing!N82</f>
        <v>11.601345476587742</v>
      </c>
      <c r="E1126" t="s">
        <v>2041</v>
      </c>
      <c r="F1126">
        <f>Clothing!O82</f>
        <v>1</v>
      </c>
      <c r="G1126">
        <f>Clothing!P82</f>
        <v>1</v>
      </c>
      <c r="H1126">
        <f>Clothing!Q82</f>
        <v>2</v>
      </c>
      <c r="I1126">
        <f>Clothing!R82</f>
        <v>2</v>
      </c>
      <c r="J1126">
        <f>Clothing!S82</f>
        <v>2</v>
      </c>
      <c r="K1126">
        <f t="shared" si="18"/>
        <v>0.37356464144298934</v>
      </c>
    </row>
    <row r="1127" spans="1:11">
      <c r="A1127" t="s">
        <v>2042</v>
      </c>
      <c r="B1127">
        <f>Clothing!B83</f>
        <v>2020</v>
      </c>
      <c r="C1127" t="str">
        <f>Clothing!C83</f>
        <v>Acryl</v>
      </c>
      <c r="D1127">
        <f>Clothing!N83</f>
        <v>4.5859809125068463</v>
      </c>
      <c r="E1127" t="s">
        <v>2041</v>
      </c>
      <c r="F1127">
        <f>Clothing!O83</f>
        <v>1</v>
      </c>
      <c r="G1127">
        <f>Clothing!P83</f>
        <v>1</v>
      </c>
      <c r="H1127">
        <f>Clothing!Q83</f>
        <v>2</v>
      </c>
      <c r="I1127">
        <f>Clothing!R83</f>
        <v>2</v>
      </c>
      <c r="J1127">
        <f>Clothing!S83</f>
        <v>2</v>
      </c>
      <c r="K1127">
        <f t="shared" si="18"/>
        <v>0.37356464144298934</v>
      </c>
    </row>
    <row r="1128" spans="1:11">
      <c r="A1128" t="s">
        <v>2042</v>
      </c>
      <c r="B1128">
        <f>Clothing!B84</f>
        <v>2020</v>
      </c>
      <c r="C1128" t="str">
        <f>Clothing!C84</f>
        <v>OTHER</v>
      </c>
      <c r="D1128">
        <f>Clothing!N84</f>
        <v>6.5786115956147801</v>
      </c>
      <c r="E1128" t="s">
        <v>2041</v>
      </c>
      <c r="F1128">
        <f>Clothing!O84</f>
        <v>1</v>
      </c>
      <c r="G1128">
        <f>Clothing!P84</f>
        <v>1</v>
      </c>
      <c r="H1128">
        <f>Clothing!Q84</f>
        <v>2</v>
      </c>
      <c r="I1128">
        <f>Clothing!R84</f>
        <v>2</v>
      </c>
      <c r="J1128">
        <f>Clothing!S84</f>
        <v>2</v>
      </c>
      <c r="K1128">
        <f t="shared" si="18"/>
        <v>0.37356464144298934</v>
      </c>
    </row>
    <row r="1129" spans="1:11">
      <c r="A1129" t="s">
        <v>2042</v>
      </c>
      <c r="B1129">
        <f>Clothing!B85</f>
        <v>2020</v>
      </c>
      <c r="C1129" t="str">
        <f>Clothing!C85</f>
        <v>PA</v>
      </c>
      <c r="D1129">
        <f>Clothing!N85</f>
        <v>9.0787744006396522</v>
      </c>
      <c r="E1129" t="s">
        <v>2041</v>
      </c>
      <c r="F1129">
        <f>Clothing!O85</f>
        <v>1</v>
      </c>
      <c r="G1129">
        <f>Clothing!P85</f>
        <v>1</v>
      </c>
      <c r="H1129">
        <f>Clothing!Q85</f>
        <v>2</v>
      </c>
      <c r="I1129">
        <f>Clothing!R85</f>
        <v>2</v>
      </c>
      <c r="J1129">
        <f>Clothing!S85</f>
        <v>2</v>
      </c>
      <c r="K1129">
        <f t="shared" si="18"/>
        <v>0.37356464144298934</v>
      </c>
    </row>
    <row r="1130" spans="1:11">
      <c r="A1130" t="s">
        <v>2042</v>
      </c>
      <c r="B1130">
        <f>Clothing!B86</f>
        <v>2020</v>
      </c>
      <c r="C1130" t="str">
        <f>Clothing!C86</f>
        <v>PET</v>
      </c>
      <c r="D1130">
        <f>Clothing!N86</f>
        <v>48.250750903867512</v>
      </c>
      <c r="E1130" t="s">
        <v>2041</v>
      </c>
      <c r="F1130">
        <f>Clothing!O86</f>
        <v>1</v>
      </c>
      <c r="G1130">
        <f>Clothing!P86</f>
        <v>1</v>
      </c>
      <c r="H1130">
        <f>Clothing!Q86</f>
        <v>2</v>
      </c>
      <c r="I1130">
        <f>Clothing!R86</f>
        <v>2</v>
      </c>
      <c r="J1130">
        <f>Clothing!S86</f>
        <v>2</v>
      </c>
      <c r="K1130">
        <f t="shared" si="18"/>
        <v>0.37356464144298934</v>
      </c>
    </row>
    <row r="1131" spans="1:11">
      <c r="A1131" t="s">
        <v>2042</v>
      </c>
      <c r="B1131">
        <f>Clothing!B87</f>
        <v>2020</v>
      </c>
      <c r="C1131" t="str">
        <f>Clothing!C87</f>
        <v>PUR</v>
      </c>
      <c r="D1131">
        <f>Clothing!N87</f>
        <v>6.1427614079732447</v>
      </c>
      <c r="E1131" t="s">
        <v>2041</v>
      </c>
      <c r="F1131">
        <f>Clothing!O87</f>
        <v>1</v>
      </c>
      <c r="G1131">
        <f>Clothing!P87</f>
        <v>1</v>
      </c>
      <c r="H1131">
        <f>Clothing!Q87</f>
        <v>2</v>
      </c>
      <c r="I1131">
        <f>Clothing!R87</f>
        <v>2</v>
      </c>
      <c r="J1131">
        <f>Clothing!S87</f>
        <v>2</v>
      </c>
      <c r="K1131">
        <f t="shared" si="18"/>
        <v>0.37356464144298934</v>
      </c>
    </row>
    <row r="1132" spans="1:11">
      <c r="A1132" t="s">
        <v>2042</v>
      </c>
      <c r="B1132">
        <f>Clothing!B88</f>
        <v>2020</v>
      </c>
      <c r="C1132" t="str">
        <f>Clothing!C88</f>
        <v>PVC</v>
      </c>
      <c r="D1132">
        <f>Clothing!N88</f>
        <v>3.8557637144604473</v>
      </c>
      <c r="E1132" t="s">
        <v>2041</v>
      </c>
      <c r="F1132">
        <f>Clothing!O88</f>
        <v>1</v>
      </c>
      <c r="G1132">
        <f>Clothing!P88</f>
        <v>1</v>
      </c>
      <c r="H1132">
        <f>Clothing!Q88</f>
        <v>2</v>
      </c>
      <c r="I1132">
        <f>Clothing!R88</f>
        <v>2</v>
      </c>
      <c r="J1132">
        <f>Clothing!S88</f>
        <v>2</v>
      </c>
      <c r="K1132">
        <f t="shared" si="18"/>
        <v>0.37356464144298934</v>
      </c>
    </row>
    <row r="1133" spans="1:11">
      <c r="A1133" t="s">
        <v>2042</v>
      </c>
      <c r="B1133">
        <f>Clothing!B89</f>
        <v>2020</v>
      </c>
      <c r="C1133" t="str">
        <f>Clothing!C89</f>
        <v>RUBBER</v>
      </c>
      <c r="D1133">
        <f>Clothing!N89</f>
        <v>6.6844557851669997</v>
      </c>
      <c r="E1133" t="s">
        <v>2041</v>
      </c>
      <c r="F1133">
        <f>Clothing!O89</f>
        <v>1</v>
      </c>
      <c r="G1133">
        <f>Clothing!P89</f>
        <v>1</v>
      </c>
      <c r="H1133">
        <f>Clothing!Q89</f>
        <v>2</v>
      </c>
      <c r="I1133">
        <f>Clothing!R89</f>
        <v>2</v>
      </c>
      <c r="J1133">
        <f>Clothing!S89</f>
        <v>2</v>
      </c>
      <c r="K1133">
        <f t="shared" si="18"/>
        <v>0.37356464144298934</v>
      </c>
    </row>
    <row r="1134" spans="1:11">
      <c r="A1134" t="s">
        <v>2042</v>
      </c>
      <c r="B1134">
        <f>Clothing!B90</f>
        <v>2021</v>
      </c>
      <c r="C1134" t="str">
        <f>Clothing!C90</f>
        <v>Acryl</v>
      </c>
      <c r="D1134">
        <f>Clothing!N90</f>
        <v>5.6161085637920438</v>
      </c>
      <c r="E1134" t="s">
        <v>2041</v>
      </c>
      <c r="F1134">
        <f>Clothing!O90</f>
        <v>1</v>
      </c>
      <c r="G1134">
        <f>Clothing!P90</f>
        <v>1</v>
      </c>
      <c r="H1134">
        <f>Clothing!Q90</f>
        <v>2</v>
      </c>
      <c r="I1134">
        <f>Clothing!R90</f>
        <v>2</v>
      </c>
      <c r="J1134">
        <f>Clothing!S90</f>
        <v>2</v>
      </c>
      <c r="K1134">
        <f t="shared" si="18"/>
        <v>0.37356464144298934</v>
      </c>
    </row>
    <row r="1135" spans="1:11">
      <c r="A1135" t="s">
        <v>2042</v>
      </c>
      <c r="B1135">
        <f>Clothing!B91</f>
        <v>2021</v>
      </c>
      <c r="C1135" t="str">
        <f>Clothing!C91</f>
        <v>OTHER</v>
      </c>
      <c r="D1135">
        <f>Clothing!N91</f>
        <v>6.5805077956322817</v>
      </c>
      <c r="E1135" t="s">
        <v>2041</v>
      </c>
      <c r="F1135">
        <f>Clothing!O91</f>
        <v>1</v>
      </c>
      <c r="G1135">
        <f>Clothing!P91</f>
        <v>1</v>
      </c>
      <c r="H1135">
        <f>Clothing!Q91</f>
        <v>2</v>
      </c>
      <c r="I1135">
        <f>Clothing!R91</f>
        <v>2</v>
      </c>
      <c r="J1135">
        <f>Clothing!S91</f>
        <v>2</v>
      </c>
      <c r="K1135">
        <f t="shared" si="18"/>
        <v>0.37356464144298934</v>
      </c>
    </row>
    <row r="1136" spans="1:11">
      <c r="A1136" t="s">
        <v>2042</v>
      </c>
      <c r="B1136">
        <f>Clothing!B92</f>
        <v>2021</v>
      </c>
      <c r="C1136" t="str">
        <f>Clothing!C92</f>
        <v>PA</v>
      </c>
      <c r="D1136">
        <f>Clothing!N92</f>
        <v>9.1729945723551705</v>
      </c>
      <c r="E1136" t="s">
        <v>2041</v>
      </c>
      <c r="F1136">
        <f>Clothing!O92</f>
        <v>1</v>
      </c>
      <c r="G1136">
        <f>Clothing!P92</f>
        <v>1</v>
      </c>
      <c r="H1136">
        <f>Clothing!Q92</f>
        <v>2</v>
      </c>
      <c r="I1136">
        <f>Clothing!R92</f>
        <v>2</v>
      </c>
      <c r="J1136">
        <f>Clothing!S92</f>
        <v>2</v>
      </c>
      <c r="K1136">
        <f t="shared" si="18"/>
        <v>0.37356464144298934</v>
      </c>
    </row>
    <row r="1137" spans="1:11">
      <c r="A1137" t="s">
        <v>2042</v>
      </c>
      <c r="B1137">
        <f>Clothing!B93</f>
        <v>2021</v>
      </c>
      <c r="C1137" t="str">
        <f>Clothing!C93</f>
        <v>PET</v>
      </c>
      <c r="D1137">
        <f>Clothing!N93</f>
        <v>50.872845672105207</v>
      </c>
      <c r="E1137" t="s">
        <v>2041</v>
      </c>
      <c r="F1137">
        <f>Clothing!O93</f>
        <v>1</v>
      </c>
      <c r="G1137">
        <f>Clothing!P93</f>
        <v>1</v>
      </c>
      <c r="H1137">
        <f>Clothing!Q93</f>
        <v>2</v>
      </c>
      <c r="I1137">
        <f>Clothing!R93</f>
        <v>2</v>
      </c>
      <c r="J1137">
        <f>Clothing!S93</f>
        <v>2</v>
      </c>
      <c r="K1137">
        <f t="shared" si="18"/>
        <v>0.37356464144298934</v>
      </c>
    </row>
    <row r="1138" spans="1:11">
      <c r="A1138" t="s">
        <v>2042</v>
      </c>
      <c r="B1138">
        <f>Clothing!B94</f>
        <v>2021</v>
      </c>
      <c r="C1138" t="str">
        <f>Clothing!C94</f>
        <v>PUR</v>
      </c>
      <c r="D1138">
        <f>Clothing!N94</f>
        <v>5.9453102773179474</v>
      </c>
      <c r="E1138" t="s">
        <v>2041</v>
      </c>
      <c r="F1138">
        <f>Clothing!O94</f>
        <v>1</v>
      </c>
      <c r="G1138">
        <f>Clothing!P94</f>
        <v>1</v>
      </c>
      <c r="H1138">
        <f>Clothing!Q94</f>
        <v>2</v>
      </c>
      <c r="I1138">
        <f>Clothing!R94</f>
        <v>2</v>
      </c>
      <c r="J1138">
        <f>Clothing!S94</f>
        <v>2</v>
      </c>
      <c r="K1138">
        <f t="shared" si="18"/>
        <v>0.37356464144298934</v>
      </c>
    </row>
    <row r="1139" spans="1:11">
      <c r="A1139" t="s">
        <v>2042</v>
      </c>
      <c r="B1139">
        <f>Clothing!B95</f>
        <v>2021</v>
      </c>
      <c r="C1139" t="str">
        <f>Clothing!C95</f>
        <v>PVC</v>
      </c>
      <c r="D1139">
        <f>Clothing!N95</f>
        <v>3.7767024424573439</v>
      </c>
      <c r="E1139" t="s">
        <v>2041</v>
      </c>
      <c r="F1139">
        <f>Clothing!O95</f>
        <v>1</v>
      </c>
      <c r="G1139">
        <f>Clothing!P95</f>
        <v>1</v>
      </c>
      <c r="H1139">
        <f>Clothing!Q95</f>
        <v>2</v>
      </c>
      <c r="I1139">
        <f>Clothing!R95</f>
        <v>2</v>
      </c>
      <c r="J1139">
        <f>Clothing!S95</f>
        <v>2</v>
      </c>
      <c r="K1139">
        <f t="shared" si="18"/>
        <v>0.37356464144298934</v>
      </c>
    </row>
    <row r="1140" spans="1:11">
      <c r="A1140" t="s">
        <v>2042</v>
      </c>
      <c r="B1140">
        <f>Clothing!B96</f>
        <v>2021</v>
      </c>
      <c r="C1140" t="str">
        <f>Clothing!C96</f>
        <v>RUBBER</v>
      </c>
      <c r="D1140">
        <f>Clothing!N96</f>
        <v>7.2186209683208107</v>
      </c>
      <c r="E1140" t="s">
        <v>2041</v>
      </c>
      <c r="F1140">
        <f>Clothing!O96</f>
        <v>1</v>
      </c>
      <c r="G1140">
        <f>Clothing!P96</f>
        <v>1</v>
      </c>
      <c r="H1140">
        <f>Clothing!Q96</f>
        <v>2</v>
      </c>
      <c r="I1140">
        <f>Clothing!R96</f>
        <v>2</v>
      </c>
      <c r="J1140">
        <f>Clothing!S96</f>
        <v>2</v>
      </c>
      <c r="K1140">
        <f t="shared" si="18"/>
        <v>0.37356464144298934</v>
      </c>
    </row>
    <row r="1141" spans="1:11">
      <c r="A1141" t="s">
        <v>2042</v>
      </c>
      <c r="B1141">
        <f>Clothing!B97</f>
        <v>2022</v>
      </c>
      <c r="C1141" t="str">
        <f>Clothing!C97</f>
        <v>Acryl</v>
      </c>
      <c r="D1141">
        <f>Clothing!N97</f>
        <v>9.761650601433864</v>
      </c>
      <c r="E1141" t="s">
        <v>2041</v>
      </c>
      <c r="F1141">
        <f>Clothing!O97</f>
        <v>1</v>
      </c>
      <c r="G1141">
        <f>Clothing!P97</f>
        <v>1</v>
      </c>
      <c r="H1141">
        <f>Clothing!Q97</f>
        <v>2</v>
      </c>
      <c r="I1141">
        <f>Clothing!R97</f>
        <v>2</v>
      </c>
      <c r="J1141">
        <f>Clothing!S97</f>
        <v>2</v>
      </c>
      <c r="K1141">
        <f t="shared" si="18"/>
        <v>0.37356464144298934</v>
      </c>
    </row>
    <row r="1142" spans="1:11">
      <c r="A1142" t="s">
        <v>2042</v>
      </c>
      <c r="B1142">
        <f>Clothing!B98</f>
        <v>2022</v>
      </c>
      <c r="C1142" t="str">
        <f>Clothing!C98</f>
        <v>OTHER</v>
      </c>
      <c r="D1142">
        <f>Clothing!N98</f>
        <v>15.227243691565498</v>
      </c>
      <c r="E1142" t="s">
        <v>2041</v>
      </c>
      <c r="F1142">
        <f>Clothing!O98</f>
        <v>1</v>
      </c>
      <c r="G1142">
        <f>Clothing!P98</f>
        <v>1</v>
      </c>
      <c r="H1142">
        <f>Clothing!Q98</f>
        <v>2</v>
      </c>
      <c r="I1142">
        <f>Clothing!R98</f>
        <v>2</v>
      </c>
      <c r="J1142">
        <f>Clothing!S98</f>
        <v>2</v>
      </c>
      <c r="K1142">
        <f t="shared" si="18"/>
        <v>0.37356464144298934</v>
      </c>
    </row>
    <row r="1143" spans="1:11">
      <c r="A1143" t="s">
        <v>2042</v>
      </c>
      <c r="B1143">
        <f>Clothing!B99</f>
        <v>2022</v>
      </c>
      <c r="C1143" t="str">
        <f>Clothing!C99</f>
        <v>PA</v>
      </c>
      <c r="D1143">
        <f>Clothing!N99</f>
        <v>20.042975979561387</v>
      </c>
      <c r="E1143" t="s">
        <v>2041</v>
      </c>
      <c r="F1143">
        <f>Clothing!O99</f>
        <v>1</v>
      </c>
      <c r="G1143">
        <f>Clothing!P99</f>
        <v>1</v>
      </c>
      <c r="H1143">
        <f>Clothing!Q99</f>
        <v>2</v>
      </c>
      <c r="I1143">
        <f>Clothing!R99</f>
        <v>2</v>
      </c>
      <c r="J1143">
        <f>Clothing!S99</f>
        <v>2</v>
      </c>
      <c r="K1143">
        <f t="shared" si="18"/>
        <v>0.37356464144298934</v>
      </c>
    </row>
    <row r="1144" spans="1:11">
      <c r="A1144" t="s">
        <v>2042</v>
      </c>
      <c r="B1144">
        <f>Clothing!B100</f>
        <v>2022</v>
      </c>
      <c r="C1144" t="str">
        <f>Clothing!C100</f>
        <v>PET</v>
      </c>
      <c r="D1144">
        <f>Clothing!N100</f>
        <v>103.49376237698202</v>
      </c>
      <c r="E1144" t="s">
        <v>2041</v>
      </c>
      <c r="F1144">
        <f>Clothing!O100</f>
        <v>1</v>
      </c>
      <c r="G1144">
        <f>Clothing!P100</f>
        <v>1</v>
      </c>
      <c r="H1144">
        <f>Clothing!Q100</f>
        <v>2</v>
      </c>
      <c r="I1144">
        <f>Clothing!R100</f>
        <v>2</v>
      </c>
      <c r="J1144">
        <f>Clothing!S100</f>
        <v>2</v>
      </c>
      <c r="K1144">
        <f t="shared" si="18"/>
        <v>0.37356464144298934</v>
      </c>
    </row>
    <row r="1145" spans="1:11">
      <c r="A1145" t="s">
        <v>2042</v>
      </c>
      <c r="B1145">
        <f>Clothing!B101</f>
        <v>2022</v>
      </c>
      <c r="C1145" t="str">
        <f>Clothing!C101</f>
        <v>PUR</v>
      </c>
      <c r="D1145">
        <f>Clothing!N101</f>
        <v>9.0711807032870055</v>
      </c>
      <c r="E1145" t="s">
        <v>2041</v>
      </c>
      <c r="F1145">
        <f>Clothing!O101</f>
        <v>1</v>
      </c>
      <c r="G1145">
        <f>Clothing!P101</f>
        <v>1</v>
      </c>
      <c r="H1145">
        <f>Clothing!Q101</f>
        <v>2</v>
      </c>
      <c r="I1145">
        <f>Clothing!R101</f>
        <v>2</v>
      </c>
      <c r="J1145">
        <f>Clothing!S101</f>
        <v>2</v>
      </c>
      <c r="K1145">
        <f t="shared" si="18"/>
        <v>0.37356464144298934</v>
      </c>
    </row>
    <row r="1146" spans="1:11">
      <c r="A1146" t="s">
        <v>2042</v>
      </c>
      <c r="B1146">
        <f>Clothing!B102</f>
        <v>2022</v>
      </c>
      <c r="C1146" t="str">
        <f>Clothing!C102</f>
        <v>PVC</v>
      </c>
      <c r="D1146">
        <f>Clothing!N102</f>
        <v>5.8575658803403581</v>
      </c>
      <c r="E1146" t="s">
        <v>2041</v>
      </c>
      <c r="F1146">
        <f>Clothing!O102</f>
        <v>1</v>
      </c>
      <c r="G1146">
        <f>Clothing!P102</f>
        <v>1</v>
      </c>
      <c r="H1146">
        <f>Clothing!Q102</f>
        <v>2</v>
      </c>
      <c r="I1146">
        <f>Clothing!R102</f>
        <v>2</v>
      </c>
      <c r="J1146">
        <f>Clothing!S102</f>
        <v>2</v>
      </c>
      <c r="K1146">
        <f t="shared" si="18"/>
        <v>0.37356464144298934</v>
      </c>
    </row>
    <row r="1147" spans="1:11">
      <c r="A1147" t="s">
        <v>2042</v>
      </c>
      <c r="B1147">
        <f>Clothing!B103</f>
        <v>2022</v>
      </c>
      <c r="C1147" t="str">
        <f>Clothing!C103</f>
        <v>RUBBER</v>
      </c>
      <c r="D1147">
        <f>Clothing!N103</f>
        <v>12.302518511190634</v>
      </c>
      <c r="E1147" t="s">
        <v>2041</v>
      </c>
      <c r="F1147">
        <f>Clothing!O103</f>
        <v>1</v>
      </c>
      <c r="G1147">
        <f>Clothing!P103</f>
        <v>1</v>
      </c>
      <c r="H1147">
        <f>Clothing!Q103</f>
        <v>2</v>
      </c>
      <c r="I1147">
        <f>Clothing!R103</f>
        <v>2</v>
      </c>
      <c r="J1147">
        <f>Clothing!S103</f>
        <v>2</v>
      </c>
      <c r="K1147">
        <f t="shared" si="18"/>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filterColumn colId="0">
      <filters>
        <filter val="Import of clothing (EU)"/>
        <filter val="Import of clothing (Global)"/>
      </filters>
    </filterColumn>
  </autoFilter>
  <phoneticPr fontId="22" type="noConversion"/>
  <conditionalFormatting sqref="D1">
    <cfRule type="cellIs" dxfId="217" priority="40" operator="greaterThan">
      <formula>0</formula>
    </cfRule>
    <cfRule type="cellIs" dxfId="216" priority="41" operator="equal">
      <formula>0</formula>
    </cfRule>
  </conditionalFormatting>
  <conditionalFormatting sqref="D812:D1048576">
    <cfRule type="cellIs" dxfId="215" priority="5" operator="greaterThan">
      <formula>0</formula>
    </cfRule>
    <cfRule type="cellIs" dxfId="214" priority="6" operator="equal">
      <formula>0</formula>
    </cfRule>
  </conditionalFormatting>
  <conditionalFormatting sqref="F2:J2">
    <cfRule type="dataBar" priority="110">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7">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8">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9">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7">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13" priority="13" stopIfTrue="1" operator="notBetween">
      <formula>1</formula>
      <formula>4</formula>
    </cfRule>
  </conditionalFormatting>
  <conditionalFormatting sqref="F102:J109">
    <cfRule type="dataBar" priority="14">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11">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8">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dataBar" priority="4">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812:J813">
    <cfRule type="containsBlanks" dxfId="212" priority="1">
      <formula>LEN(TRIM(F812))=0</formula>
    </cfRule>
  </conditionalFormatting>
  <conditionalFormatting sqref="F813:J813">
    <cfRule type="dataBar" priority="2">
      <dataBar>
        <cfvo type="min"/>
        <cfvo type="num" val="4"/>
        <color rgb="FFFFC000"/>
      </dataBar>
      <extLst>
        <ext xmlns:x14="http://schemas.microsoft.com/office/spreadsheetml/2009/9/main" uri="{B025F937-C7B1-47D3-B67F-A62EFF666E3E}">
          <x14:id>{15A7EADD-A692-4A1A-9D45-AE23E014A056}</x14:id>
        </ext>
      </extLst>
    </cfRule>
  </conditionalFormatting>
  <conditionalFormatting sqref="F2:K811 K796:K1147">
    <cfRule type="containsBlanks" dxfId="211" priority="7">
      <formula>LEN(TRIM(F2))=0</formula>
    </cfRule>
  </conditionalFormatting>
  <conditionalFormatting sqref="K22:K73">
    <cfRule type="dataBar" priority="7210">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2">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8">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10">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15A7EADD-A692-4A1A-9D45-AE23E014A056}">
            <x14:dataBar minLength="0" maxLength="100" gradient="0">
              <x14:cfvo type="autoMin"/>
              <x14:cfvo type="num">
                <xm:f>4</xm:f>
              </x14:cfvo>
              <x14:negativeFillColor rgb="FFFF0000"/>
              <x14:axisColor rgb="FF000000"/>
            </x14:dataBar>
          </x14:cfRule>
          <xm:sqref>F813:J813</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L930"/>
  <sheetViews>
    <sheetView zoomScale="90" zoomScaleNormal="90" workbookViewId="0">
      <pane ySplit="1" topLeftCell="A287" activePane="bottomLeft" state="frozen"/>
      <selection pane="bottomLeft" activeCell="E819" sqref="E819"/>
    </sheetView>
  </sheetViews>
  <sheetFormatPr defaultColWidth="9.33203125" defaultRowHeight="14.4"/>
  <cols>
    <col min="1" max="1" width="40.6640625" style="26" customWidth="1"/>
    <col min="2" max="3" width="15.6640625" style="26" customWidth="1"/>
    <col min="4" max="4" width="27.33203125" style="64" customWidth="1"/>
    <col min="5" max="5" width="99.44140625" style="7" customWidth="1"/>
    <col min="6" max="11" width="10.6640625" style="7" customWidth="1"/>
    <col min="12" max="12" width="79.5546875" style="31" customWidth="1"/>
    <col min="13" max="16384" width="9.332031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t="15" thickBot="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t="15" thickBot="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c r="A595" s="7" t="s">
        <v>2042</v>
      </c>
      <c r="B595" s="7">
        <v>2011</v>
      </c>
      <c r="C595" s="7" t="s">
        <v>99</v>
      </c>
      <c r="D595" s="64">
        <v>128.00471822053382</v>
      </c>
      <c r="E595" s="7" t="s">
        <v>2040</v>
      </c>
      <c r="F595" s="7">
        <v>1</v>
      </c>
      <c r="G595" s="7">
        <v>1</v>
      </c>
      <c r="H595" s="7">
        <v>2</v>
      </c>
      <c r="I595" s="7">
        <v>2</v>
      </c>
      <c r="J595" s="7">
        <v>2</v>
      </c>
      <c r="K595" s="159">
        <f t="shared" ref="K595:K658" si="10">IF( OR( ISBLANK(F595),ISBLANK(G595), ISBLANK(H595), ISBLANK(I595), ISBLANK(J595) ), "", 1.5*SQRT(   EXP(2.21*(F595-1)) + EXP(2.21*(G595-1)) + EXP(2.21*(H595-1)) + EXP(2.21*(I595-1)) + EXP(2.21*J595)   )/100*2.45 )</f>
        <v>0.37356464144298934</v>
      </c>
    </row>
    <row r="596" spans="1:12">
      <c r="A596" s="7" t="s">
        <v>2042</v>
      </c>
      <c r="B596" s="7">
        <v>2011</v>
      </c>
      <c r="C596" s="7" t="s">
        <v>98</v>
      </c>
      <c r="D596" s="64">
        <v>209.81733355425601</v>
      </c>
      <c r="E596" s="7" t="s">
        <v>2040</v>
      </c>
      <c r="F596" s="7">
        <v>1</v>
      </c>
      <c r="G596" s="7">
        <v>1</v>
      </c>
      <c r="H596" s="7">
        <v>2</v>
      </c>
      <c r="I596" s="7">
        <v>2</v>
      </c>
      <c r="J596" s="7">
        <v>2</v>
      </c>
      <c r="K596" s="159">
        <f t="shared" si="10"/>
        <v>0.37356464144298934</v>
      </c>
    </row>
    <row r="597" spans="1:12">
      <c r="A597" s="7" t="s">
        <v>2042</v>
      </c>
      <c r="B597" s="7">
        <v>2011</v>
      </c>
      <c r="C597" s="7" t="s">
        <v>95</v>
      </c>
      <c r="D597" s="64">
        <v>280.47351795825369</v>
      </c>
      <c r="E597" s="7" t="s">
        <v>2040</v>
      </c>
      <c r="F597" s="7">
        <v>1</v>
      </c>
      <c r="G597" s="7">
        <v>1</v>
      </c>
      <c r="H597" s="7">
        <v>2</v>
      </c>
      <c r="I597" s="7">
        <v>2</v>
      </c>
      <c r="J597" s="7">
        <v>2</v>
      </c>
      <c r="K597" s="159">
        <f t="shared" si="10"/>
        <v>0.37356464144298934</v>
      </c>
    </row>
    <row r="598" spans="1:12">
      <c r="A598" s="7" t="s">
        <v>2042</v>
      </c>
      <c r="B598" s="7">
        <v>2011</v>
      </c>
      <c r="C598" s="7" t="s">
        <v>91</v>
      </c>
      <c r="D598" s="64">
        <v>1255.6099534356335</v>
      </c>
      <c r="E598" s="7" t="s">
        <v>2040</v>
      </c>
      <c r="F598" s="7">
        <v>1</v>
      </c>
      <c r="G598" s="7">
        <v>1</v>
      </c>
      <c r="H598" s="7">
        <v>2</v>
      </c>
      <c r="I598" s="7">
        <v>2</v>
      </c>
      <c r="J598" s="7">
        <v>2</v>
      </c>
      <c r="K598" s="159">
        <f t="shared" si="10"/>
        <v>0.37356464144298934</v>
      </c>
    </row>
    <row r="599" spans="1:12">
      <c r="A599" s="7" t="s">
        <v>2042</v>
      </c>
      <c r="B599" s="7">
        <v>2011</v>
      </c>
      <c r="C599" s="7" t="s">
        <v>93</v>
      </c>
      <c r="D599" s="64">
        <v>152.60514814044893</v>
      </c>
      <c r="E599" s="7" t="s">
        <v>2040</v>
      </c>
      <c r="F599" s="7">
        <v>1</v>
      </c>
      <c r="G599" s="7">
        <v>1</v>
      </c>
      <c r="H599" s="7">
        <v>2</v>
      </c>
      <c r="I599" s="7">
        <v>2</v>
      </c>
      <c r="J599" s="7">
        <v>2</v>
      </c>
      <c r="K599" s="159">
        <f t="shared" si="10"/>
        <v>0.37356464144298934</v>
      </c>
    </row>
    <row r="600" spans="1:12">
      <c r="A600" s="7" t="s">
        <v>2042</v>
      </c>
      <c r="B600" s="7">
        <v>2011</v>
      </c>
      <c r="C600" s="7" t="s">
        <v>90</v>
      </c>
      <c r="D600" s="64">
        <v>99.107873413830859</v>
      </c>
      <c r="E600" s="7" t="s">
        <v>2040</v>
      </c>
      <c r="F600" s="7">
        <v>1</v>
      </c>
      <c r="G600" s="7">
        <v>1</v>
      </c>
      <c r="H600" s="7">
        <v>2</v>
      </c>
      <c r="I600" s="7">
        <v>2</v>
      </c>
      <c r="J600" s="7">
        <v>2</v>
      </c>
      <c r="K600" s="159">
        <f t="shared" si="10"/>
        <v>0.37356464144298934</v>
      </c>
    </row>
    <row r="601" spans="1:12">
      <c r="A601" s="7" t="s">
        <v>2042</v>
      </c>
      <c r="B601" s="7">
        <v>2011</v>
      </c>
      <c r="C601" s="7" t="s">
        <v>92</v>
      </c>
      <c r="D601" s="64">
        <v>215.80381803166551</v>
      </c>
      <c r="E601" s="7" t="s">
        <v>2040</v>
      </c>
      <c r="F601" s="7">
        <v>1</v>
      </c>
      <c r="G601" s="7">
        <v>1</v>
      </c>
      <c r="H601" s="7">
        <v>2</v>
      </c>
      <c r="I601" s="7">
        <v>2</v>
      </c>
      <c r="J601" s="7">
        <v>2</v>
      </c>
      <c r="K601" s="159">
        <f t="shared" si="10"/>
        <v>0.37356464144298934</v>
      </c>
    </row>
    <row r="602" spans="1:12">
      <c r="A602" s="7" t="s">
        <v>2042</v>
      </c>
      <c r="B602" s="7">
        <v>2012</v>
      </c>
      <c r="C602" s="7" t="s">
        <v>99</v>
      </c>
      <c r="D602" s="64">
        <v>95.679475975761164</v>
      </c>
      <c r="E602" s="7" t="s">
        <v>2040</v>
      </c>
      <c r="F602" s="7">
        <v>1</v>
      </c>
      <c r="G602" s="7">
        <v>1</v>
      </c>
      <c r="H602" s="7">
        <v>2</v>
      </c>
      <c r="I602" s="7">
        <v>2</v>
      </c>
      <c r="J602" s="7">
        <v>2</v>
      </c>
      <c r="K602" s="159">
        <f t="shared" si="10"/>
        <v>0.37356464144298934</v>
      </c>
    </row>
    <row r="603" spans="1:12">
      <c r="A603" s="7" t="s">
        <v>2042</v>
      </c>
      <c r="B603" s="7">
        <v>2012</v>
      </c>
      <c r="C603" s="7" t="s">
        <v>98</v>
      </c>
      <c r="D603" s="64">
        <v>165.87520937884773</v>
      </c>
      <c r="E603" s="7" t="s">
        <v>2040</v>
      </c>
      <c r="F603" s="7">
        <v>1</v>
      </c>
      <c r="G603" s="7">
        <v>1</v>
      </c>
      <c r="H603" s="7">
        <v>2</v>
      </c>
      <c r="I603" s="7">
        <v>2</v>
      </c>
      <c r="J603" s="7">
        <v>2</v>
      </c>
      <c r="K603" s="159">
        <f t="shared" si="10"/>
        <v>0.37356464144298934</v>
      </c>
    </row>
    <row r="604" spans="1:12">
      <c r="A604" s="7" t="s">
        <v>2042</v>
      </c>
      <c r="B604" s="7">
        <v>2012</v>
      </c>
      <c r="C604" s="7" t="s">
        <v>95</v>
      </c>
      <c r="D604" s="64">
        <v>203.80363075095224</v>
      </c>
      <c r="E604" s="7" t="s">
        <v>2040</v>
      </c>
      <c r="F604" s="7">
        <v>1</v>
      </c>
      <c r="G604" s="7">
        <v>1</v>
      </c>
      <c r="H604" s="7">
        <v>2</v>
      </c>
      <c r="I604" s="7">
        <v>2</v>
      </c>
      <c r="J604" s="7">
        <v>2</v>
      </c>
      <c r="K604" s="159">
        <f t="shared" si="10"/>
        <v>0.37356464144298934</v>
      </c>
    </row>
    <row r="605" spans="1:12">
      <c r="A605" s="7" t="s">
        <v>2042</v>
      </c>
      <c r="B605" s="7">
        <v>2012</v>
      </c>
      <c r="C605" s="7" t="s">
        <v>91</v>
      </c>
      <c r="D605" s="64">
        <v>1074.6175373409505</v>
      </c>
      <c r="E605" s="7" t="s">
        <v>2040</v>
      </c>
      <c r="F605" s="7">
        <v>1</v>
      </c>
      <c r="G605" s="7">
        <v>1</v>
      </c>
      <c r="H605" s="7">
        <v>2</v>
      </c>
      <c r="I605" s="7">
        <v>2</v>
      </c>
      <c r="J605" s="7">
        <v>2</v>
      </c>
      <c r="K605" s="159">
        <f t="shared" si="10"/>
        <v>0.37356464144298934</v>
      </c>
    </row>
    <row r="606" spans="1:12">
      <c r="A606" s="7" t="s">
        <v>2042</v>
      </c>
      <c r="B606" s="7">
        <v>2012</v>
      </c>
      <c r="C606" s="7" t="s">
        <v>93</v>
      </c>
      <c r="D606" s="64">
        <v>136.00551465713366</v>
      </c>
      <c r="E606" s="7" t="s">
        <v>2040</v>
      </c>
      <c r="F606" s="7">
        <v>1</v>
      </c>
      <c r="G606" s="7">
        <v>1</v>
      </c>
      <c r="H606" s="7">
        <v>2</v>
      </c>
      <c r="I606" s="7">
        <v>2</v>
      </c>
      <c r="J606" s="7">
        <v>2</v>
      </c>
      <c r="K606" s="159">
        <f t="shared" si="10"/>
        <v>0.37356464144298934</v>
      </c>
    </row>
    <row r="607" spans="1:12">
      <c r="A607" s="7" t="s">
        <v>2042</v>
      </c>
      <c r="B607" s="7">
        <v>2012</v>
      </c>
      <c r="C607" s="7" t="s">
        <v>90</v>
      </c>
      <c r="D607" s="64">
        <v>87.815772141648651</v>
      </c>
      <c r="E607" s="7" t="s">
        <v>2040</v>
      </c>
      <c r="F607" s="7">
        <v>1</v>
      </c>
      <c r="G607" s="7">
        <v>1</v>
      </c>
      <c r="H607" s="7">
        <v>2</v>
      </c>
      <c r="I607" s="7">
        <v>2</v>
      </c>
      <c r="J607" s="7">
        <v>2</v>
      </c>
      <c r="K607" s="159">
        <f t="shared" si="10"/>
        <v>0.37356464144298934</v>
      </c>
    </row>
    <row r="608" spans="1:12">
      <c r="A608" s="7" t="s">
        <v>2042</v>
      </c>
      <c r="B608" s="7">
        <v>2012</v>
      </c>
      <c r="C608" s="7" t="s">
        <v>92</v>
      </c>
      <c r="D608" s="64">
        <v>186.02629325631176</v>
      </c>
      <c r="E608" s="7" t="s">
        <v>2040</v>
      </c>
      <c r="F608" s="7">
        <v>1</v>
      </c>
      <c r="G608" s="7">
        <v>1</v>
      </c>
      <c r="H608" s="7">
        <v>2</v>
      </c>
      <c r="I608" s="7">
        <v>2</v>
      </c>
      <c r="J608" s="7">
        <v>2</v>
      </c>
      <c r="K608" s="159">
        <f t="shared" si="10"/>
        <v>0.37356464144298934</v>
      </c>
    </row>
    <row r="609" spans="1:11">
      <c r="A609" s="7" t="s">
        <v>2042</v>
      </c>
      <c r="B609" s="7">
        <v>2013</v>
      </c>
      <c r="C609" s="7" t="s">
        <v>99</v>
      </c>
      <c r="D609" s="64">
        <v>101.37217451932561</v>
      </c>
      <c r="E609" s="7" t="s">
        <v>2040</v>
      </c>
      <c r="F609" s="7">
        <v>1</v>
      </c>
      <c r="G609" s="7">
        <v>1</v>
      </c>
      <c r="H609" s="7">
        <v>2</v>
      </c>
      <c r="I609" s="7">
        <v>2</v>
      </c>
      <c r="J609" s="7">
        <v>2</v>
      </c>
      <c r="K609" s="159">
        <f t="shared" si="10"/>
        <v>0.37356464144298934</v>
      </c>
    </row>
    <row r="610" spans="1:11">
      <c r="A610" s="7" t="s">
        <v>2042</v>
      </c>
      <c r="B610" s="7">
        <v>2013</v>
      </c>
      <c r="C610" s="7" t="s">
        <v>98</v>
      </c>
      <c r="D610" s="64">
        <v>172.72011454363258</v>
      </c>
      <c r="E610" s="7" t="s">
        <v>2040</v>
      </c>
      <c r="F610" s="7">
        <v>1</v>
      </c>
      <c r="G610" s="7">
        <v>1</v>
      </c>
      <c r="H610" s="7">
        <v>2</v>
      </c>
      <c r="I610" s="7">
        <v>2</v>
      </c>
      <c r="J610" s="7">
        <v>2</v>
      </c>
      <c r="K610" s="159">
        <f t="shared" si="10"/>
        <v>0.37356464144298934</v>
      </c>
    </row>
    <row r="611" spans="1:11">
      <c r="A611" s="7" t="s">
        <v>2042</v>
      </c>
      <c r="B611" s="7">
        <v>2013</v>
      </c>
      <c r="C611" s="7" t="s">
        <v>95</v>
      </c>
      <c r="D611" s="64">
        <v>213.02135330109527</v>
      </c>
      <c r="E611" s="7" t="s">
        <v>2040</v>
      </c>
      <c r="F611" s="7">
        <v>1</v>
      </c>
      <c r="G611" s="7">
        <v>1</v>
      </c>
      <c r="H611" s="7">
        <v>2</v>
      </c>
      <c r="I611" s="7">
        <v>2</v>
      </c>
      <c r="J611" s="7">
        <v>2</v>
      </c>
      <c r="K611" s="159">
        <f t="shared" si="10"/>
        <v>0.37356464144298934</v>
      </c>
    </row>
    <row r="612" spans="1:11">
      <c r="A612" s="7" t="s">
        <v>2042</v>
      </c>
      <c r="B612" s="7">
        <v>2013</v>
      </c>
      <c r="C612" s="7" t="s">
        <v>91</v>
      </c>
      <c r="D612" s="64">
        <v>1129.5225554743433</v>
      </c>
      <c r="E612" s="7" t="s">
        <v>2040</v>
      </c>
      <c r="F612" s="7">
        <v>1</v>
      </c>
      <c r="G612" s="7">
        <v>1</v>
      </c>
      <c r="H612" s="7">
        <v>2</v>
      </c>
      <c r="I612" s="7">
        <v>2</v>
      </c>
      <c r="J612" s="7">
        <v>2</v>
      </c>
      <c r="K612" s="159">
        <f t="shared" si="10"/>
        <v>0.37356464144298934</v>
      </c>
    </row>
    <row r="613" spans="1:11">
      <c r="A613" s="7" t="s">
        <v>2042</v>
      </c>
      <c r="B613" s="7">
        <v>2013</v>
      </c>
      <c r="C613" s="7" t="s">
        <v>93</v>
      </c>
      <c r="D613" s="64">
        <v>139.32868413165403</v>
      </c>
      <c r="E613" s="7" t="s">
        <v>2040</v>
      </c>
      <c r="F613" s="7">
        <v>1</v>
      </c>
      <c r="G613" s="7">
        <v>1</v>
      </c>
      <c r="H613" s="7">
        <v>2</v>
      </c>
      <c r="I613" s="7">
        <v>2</v>
      </c>
      <c r="J613" s="7">
        <v>2</v>
      </c>
      <c r="K613" s="159">
        <f t="shared" si="10"/>
        <v>0.37356464144298934</v>
      </c>
    </row>
    <row r="614" spans="1:11">
      <c r="A614" s="7" t="s">
        <v>2042</v>
      </c>
      <c r="B614" s="7">
        <v>2013</v>
      </c>
      <c r="C614" s="7" t="s">
        <v>90</v>
      </c>
      <c r="D614" s="64">
        <v>90.048788857326286</v>
      </c>
      <c r="E614" s="7" t="s">
        <v>2040</v>
      </c>
      <c r="F614" s="7">
        <v>1</v>
      </c>
      <c r="G614" s="7">
        <v>1</v>
      </c>
      <c r="H614" s="7">
        <v>2</v>
      </c>
      <c r="I614" s="7">
        <v>2</v>
      </c>
      <c r="J614" s="7">
        <v>2</v>
      </c>
      <c r="K614" s="159">
        <f t="shared" si="10"/>
        <v>0.37356464144298934</v>
      </c>
    </row>
    <row r="615" spans="1:11">
      <c r="A615" s="7" t="s">
        <v>2042</v>
      </c>
      <c r="B615" s="7">
        <v>2013</v>
      </c>
      <c r="C615" s="7" t="s">
        <v>92</v>
      </c>
      <c r="D615" s="64">
        <v>191.98337676717932</v>
      </c>
      <c r="E615" s="7" t="s">
        <v>2040</v>
      </c>
      <c r="F615" s="7">
        <v>1</v>
      </c>
      <c r="G615" s="7">
        <v>1</v>
      </c>
      <c r="H615" s="7">
        <v>2</v>
      </c>
      <c r="I615" s="7">
        <v>2</v>
      </c>
      <c r="J615" s="7">
        <v>2</v>
      </c>
      <c r="K615" s="159">
        <f t="shared" si="10"/>
        <v>0.37356464144298934</v>
      </c>
    </row>
    <row r="616" spans="1:11">
      <c r="A616" s="7" t="s">
        <v>2042</v>
      </c>
      <c r="B616" s="7">
        <v>2014</v>
      </c>
      <c r="C616" s="7" t="s">
        <v>99</v>
      </c>
      <c r="D616" s="64">
        <v>114.60964804554116</v>
      </c>
      <c r="E616" s="7" t="s">
        <v>2040</v>
      </c>
      <c r="F616" s="7">
        <v>1</v>
      </c>
      <c r="G616" s="7">
        <v>1</v>
      </c>
      <c r="H616" s="7">
        <v>2</v>
      </c>
      <c r="I616" s="7">
        <v>2</v>
      </c>
      <c r="J616" s="7">
        <v>2</v>
      </c>
      <c r="K616" s="159">
        <f t="shared" si="10"/>
        <v>0.37356464144298934</v>
      </c>
    </row>
    <row r="617" spans="1:11">
      <c r="A617" s="7" t="s">
        <v>2042</v>
      </c>
      <c r="B617" s="7">
        <v>2014</v>
      </c>
      <c r="C617" s="7" t="s">
        <v>98</v>
      </c>
      <c r="D617" s="64">
        <v>190.75321928450364</v>
      </c>
      <c r="E617" s="7" t="s">
        <v>2040</v>
      </c>
      <c r="F617" s="7">
        <v>1</v>
      </c>
      <c r="G617" s="7">
        <v>1</v>
      </c>
      <c r="H617" s="7">
        <v>2</v>
      </c>
      <c r="I617" s="7">
        <v>2</v>
      </c>
      <c r="J617" s="7">
        <v>2</v>
      </c>
      <c r="K617" s="159">
        <f t="shared" si="10"/>
        <v>0.37356464144298934</v>
      </c>
    </row>
    <row r="618" spans="1:11">
      <c r="A618" s="7" t="s">
        <v>2042</v>
      </c>
      <c r="B618" s="7">
        <v>2014</v>
      </c>
      <c r="C618" s="7" t="s">
        <v>95</v>
      </c>
      <c r="D618" s="64">
        <v>234.78523689282349</v>
      </c>
      <c r="E618" s="7" t="s">
        <v>2040</v>
      </c>
      <c r="F618" s="7">
        <v>1</v>
      </c>
      <c r="G618" s="7">
        <v>1</v>
      </c>
      <c r="H618" s="7">
        <v>2</v>
      </c>
      <c r="I618" s="7">
        <v>2</v>
      </c>
      <c r="J618" s="7">
        <v>2</v>
      </c>
      <c r="K618" s="159">
        <f t="shared" si="10"/>
        <v>0.37356464144298934</v>
      </c>
    </row>
    <row r="619" spans="1:11">
      <c r="A619" s="7" t="s">
        <v>2042</v>
      </c>
      <c r="B619" s="7">
        <v>2014</v>
      </c>
      <c r="C619" s="7" t="s">
        <v>91</v>
      </c>
      <c r="D619" s="64">
        <v>1237.8019722043498</v>
      </c>
      <c r="E619" s="7" t="s">
        <v>2040</v>
      </c>
      <c r="F619" s="7">
        <v>1</v>
      </c>
      <c r="G619" s="7">
        <v>1</v>
      </c>
      <c r="H619" s="7">
        <v>2</v>
      </c>
      <c r="I619" s="7">
        <v>2</v>
      </c>
      <c r="J619" s="7">
        <v>2</v>
      </c>
      <c r="K619" s="159">
        <f t="shared" si="10"/>
        <v>0.37356464144298934</v>
      </c>
    </row>
    <row r="620" spans="1:11">
      <c r="A620" s="7" t="s">
        <v>2042</v>
      </c>
      <c r="B620" s="7">
        <v>2014</v>
      </c>
      <c r="C620" s="7" t="s">
        <v>93</v>
      </c>
      <c r="D620" s="64">
        <v>151.55793255507916</v>
      </c>
      <c r="E620" s="7" t="s">
        <v>2040</v>
      </c>
      <c r="F620" s="7">
        <v>1</v>
      </c>
      <c r="G620" s="7">
        <v>1</v>
      </c>
      <c r="H620" s="7">
        <v>2</v>
      </c>
      <c r="I620" s="7">
        <v>2</v>
      </c>
      <c r="J620" s="7">
        <v>2</v>
      </c>
      <c r="K620" s="159">
        <f t="shared" si="10"/>
        <v>0.37356464144298934</v>
      </c>
    </row>
    <row r="621" spans="1:11">
      <c r="A621" s="7" t="s">
        <v>2042</v>
      </c>
      <c r="B621" s="7">
        <v>2014</v>
      </c>
      <c r="C621" s="7" t="s">
        <v>90</v>
      </c>
      <c r="D621" s="64">
        <v>97.987899486336815</v>
      </c>
      <c r="E621" s="7" t="s">
        <v>2040</v>
      </c>
      <c r="F621" s="7">
        <v>1</v>
      </c>
      <c r="G621" s="7">
        <v>1</v>
      </c>
      <c r="H621" s="7">
        <v>2</v>
      </c>
      <c r="I621" s="7">
        <v>2</v>
      </c>
      <c r="J621" s="7">
        <v>2</v>
      </c>
      <c r="K621" s="159">
        <f t="shared" si="10"/>
        <v>0.37356464144298934</v>
      </c>
    </row>
    <row r="622" spans="1:11">
      <c r="A622" s="7" t="s">
        <v>2042</v>
      </c>
      <c r="B622" s="7">
        <v>2014</v>
      </c>
      <c r="C622" s="7" t="s">
        <v>92</v>
      </c>
      <c r="D622" s="64">
        <v>208.23906228848693</v>
      </c>
      <c r="E622" s="7" t="s">
        <v>2040</v>
      </c>
      <c r="F622" s="7">
        <v>1</v>
      </c>
      <c r="G622" s="7">
        <v>1</v>
      </c>
      <c r="H622" s="7">
        <v>2</v>
      </c>
      <c r="I622" s="7">
        <v>2</v>
      </c>
      <c r="J622" s="7">
        <v>2</v>
      </c>
      <c r="K622" s="159">
        <f t="shared" si="10"/>
        <v>0.37356464144298934</v>
      </c>
    </row>
    <row r="623" spans="1:11">
      <c r="A623" s="7" t="s">
        <v>2042</v>
      </c>
      <c r="B623" s="7">
        <v>2015</v>
      </c>
      <c r="C623" s="7" t="s">
        <v>99</v>
      </c>
      <c r="D623" s="64">
        <v>107.03086293533588</v>
      </c>
      <c r="E623" s="7" t="s">
        <v>2040</v>
      </c>
      <c r="F623" s="7">
        <v>1</v>
      </c>
      <c r="G623" s="7">
        <v>1</v>
      </c>
      <c r="H623" s="7">
        <v>2</v>
      </c>
      <c r="I623" s="7">
        <v>2</v>
      </c>
      <c r="J623" s="7">
        <v>2</v>
      </c>
      <c r="K623" s="159">
        <f t="shared" si="10"/>
        <v>0.37356464144298934</v>
      </c>
    </row>
    <row r="624" spans="1:11">
      <c r="A624" s="7" t="s">
        <v>2042</v>
      </c>
      <c r="B624" s="7">
        <v>2015</v>
      </c>
      <c r="C624" s="7" t="s">
        <v>98</v>
      </c>
      <c r="D624" s="64">
        <v>172.59820103270866</v>
      </c>
      <c r="E624" s="7" t="s">
        <v>2040</v>
      </c>
      <c r="F624" s="7">
        <v>1</v>
      </c>
      <c r="G624" s="7">
        <v>1</v>
      </c>
      <c r="H624" s="7">
        <v>2</v>
      </c>
      <c r="I624" s="7">
        <v>2</v>
      </c>
      <c r="J624" s="7">
        <v>2</v>
      </c>
      <c r="K624" s="159">
        <f t="shared" si="10"/>
        <v>0.37356464144298934</v>
      </c>
    </row>
    <row r="625" spans="1:11">
      <c r="A625" s="7" t="s">
        <v>2042</v>
      </c>
      <c r="B625" s="7">
        <v>2015</v>
      </c>
      <c r="C625" s="7" t="s">
        <v>95</v>
      </c>
      <c r="D625" s="64">
        <v>221.28909889497507</v>
      </c>
      <c r="E625" s="7" t="s">
        <v>2040</v>
      </c>
      <c r="F625" s="7">
        <v>1</v>
      </c>
      <c r="G625" s="7">
        <v>1</v>
      </c>
      <c r="H625" s="7">
        <v>2</v>
      </c>
      <c r="I625" s="7">
        <v>2</v>
      </c>
      <c r="J625" s="7">
        <v>2</v>
      </c>
      <c r="K625" s="159">
        <f t="shared" si="10"/>
        <v>0.37356464144298934</v>
      </c>
    </row>
    <row r="626" spans="1:11">
      <c r="A626" s="7" t="s">
        <v>2042</v>
      </c>
      <c r="B626" s="7">
        <v>2015</v>
      </c>
      <c r="C626" s="7" t="s">
        <v>91</v>
      </c>
      <c r="D626" s="64">
        <v>1175.1946983691003</v>
      </c>
      <c r="E626" s="7" t="s">
        <v>2040</v>
      </c>
      <c r="F626" s="7">
        <v>1</v>
      </c>
      <c r="G626" s="7">
        <v>1</v>
      </c>
      <c r="H626" s="7">
        <v>2</v>
      </c>
      <c r="I626" s="7">
        <v>2</v>
      </c>
      <c r="J626" s="7">
        <v>2</v>
      </c>
      <c r="K626" s="159">
        <f t="shared" si="10"/>
        <v>0.37356464144298934</v>
      </c>
    </row>
    <row r="627" spans="1:11">
      <c r="A627" s="7" t="s">
        <v>2042</v>
      </c>
      <c r="B627" s="7">
        <v>2015</v>
      </c>
      <c r="C627" s="7" t="s">
        <v>93</v>
      </c>
      <c r="D627" s="64">
        <v>143.54856737159724</v>
      </c>
      <c r="E627" s="7" t="s">
        <v>2040</v>
      </c>
      <c r="F627" s="7">
        <v>1</v>
      </c>
      <c r="G627" s="7">
        <v>1</v>
      </c>
      <c r="H627" s="7">
        <v>2</v>
      </c>
      <c r="I627" s="7">
        <v>2</v>
      </c>
      <c r="J627" s="7">
        <v>2</v>
      </c>
      <c r="K627" s="159">
        <f t="shared" si="10"/>
        <v>0.37356464144298934</v>
      </c>
    </row>
    <row r="628" spans="1:11">
      <c r="A628" s="7" t="s">
        <v>2042</v>
      </c>
      <c r="B628" s="7">
        <v>2015</v>
      </c>
      <c r="C628" s="7" t="s">
        <v>90</v>
      </c>
      <c r="D628" s="64">
        <v>92.333783098464409</v>
      </c>
      <c r="E628" s="7" t="s">
        <v>2040</v>
      </c>
      <c r="F628" s="7">
        <v>1</v>
      </c>
      <c r="G628" s="7">
        <v>1</v>
      </c>
      <c r="H628" s="7">
        <v>2</v>
      </c>
      <c r="I628" s="7">
        <v>2</v>
      </c>
      <c r="J628" s="7">
        <v>2</v>
      </c>
      <c r="K628" s="159">
        <f t="shared" si="10"/>
        <v>0.37356464144298934</v>
      </c>
    </row>
    <row r="629" spans="1:11">
      <c r="A629" s="7" t="s">
        <v>2042</v>
      </c>
      <c r="B629" s="7">
        <v>2015</v>
      </c>
      <c r="C629" s="7" t="s">
        <v>92</v>
      </c>
      <c r="D629" s="64">
        <v>190.87933040780692</v>
      </c>
      <c r="E629" s="7" t="s">
        <v>2040</v>
      </c>
      <c r="F629" s="7">
        <v>1</v>
      </c>
      <c r="G629" s="7">
        <v>1</v>
      </c>
      <c r="H629" s="7">
        <v>2</v>
      </c>
      <c r="I629" s="7">
        <v>2</v>
      </c>
      <c r="J629" s="7">
        <v>2</v>
      </c>
      <c r="K629" s="159">
        <f t="shared" si="10"/>
        <v>0.37356464144298934</v>
      </c>
    </row>
    <row r="630" spans="1:11">
      <c r="A630" s="7" t="s">
        <v>2042</v>
      </c>
      <c r="B630" s="7">
        <v>2016</v>
      </c>
      <c r="C630" s="7" t="s">
        <v>99</v>
      </c>
      <c r="D630" s="64">
        <v>111.6723129886563</v>
      </c>
      <c r="E630" s="7" t="s">
        <v>2040</v>
      </c>
      <c r="F630" s="7">
        <v>1</v>
      </c>
      <c r="G630" s="7">
        <v>1</v>
      </c>
      <c r="H630" s="7">
        <v>2</v>
      </c>
      <c r="I630" s="7">
        <v>2</v>
      </c>
      <c r="J630" s="7">
        <v>2</v>
      </c>
      <c r="K630" s="159">
        <f t="shared" si="10"/>
        <v>0.37356464144298934</v>
      </c>
    </row>
    <row r="631" spans="1:11">
      <c r="A631" s="7" t="s">
        <v>2042</v>
      </c>
      <c r="B631" s="7">
        <v>2016</v>
      </c>
      <c r="C631" s="7" t="s">
        <v>98</v>
      </c>
      <c r="D631" s="64">
        <v>172.89598699386963</v>
      </c>
      <c r="E631" s="7" t="s">
        <v>2040</v>
      </c>
      <c r="F631" s="7">
        <v>1</v>
      </c>
      <c r="G631" s="7">
        <v>1</v>
      </c>
      <c r="H631" s="7">
        <v>2</v>
      </c>
      <c r="I631" s="7">
        <v>2</v>
      </c>
      <c r="J631" s="7">
        <v>2</v>
      </c>
      <c r="K631" s="159">
        <f t="shared" si="10"/>
        <v>0.37356464144298934</v>
      </c>
    </row>
    <row r="632" spans="1:11">
      <c r="A632" s="7" t="s">
        <v>2042</v>
      </c>
      <c r="B632" s="7">
        <v>2016</v>
      </c>
      <c r="C632" s="7" t="s">
        <v>95</v>
      </c>
      <c r="D632" s="64">
        <v>230.42517837354072</v>
      </c>
      <c r="E632" s="7" t="s">
        <v>2040</v>
      </c>
      <c r="F632" s="7">
        <v>1</v>
      </c>
      <c r="G632" s="7">
        <v>1</v>
      </c>
      <c r="H632" s="7">
        <v>2</v>
      </c>
      <c r="I632" s="7">
        <v>2</v>
      </c>
      <c r="J632" s="7">
        <v>2</v>
      </c>
      <c r="K632" s="159">
        <f t="shared" si="10"/>
        <v>0.37356464144298934</v>
      </c>
    </row>
    <row r="633" spans="1:11">
      <c r="A633" s="7" t="s">
        <v>2042</v>
      </c>
      <c r="B633" s="7">
        <v>2016</v>
      </c>
      <c r="C633" s="7" t="s">
        <v>91</v>
      </c>
      <c r="D633" s="64">
        <v>1215.7818340634547</v>
      </c>
      <c r="E633" s="7" t="s">
        <v>2040</v>
      </c>
      <c r="F633" s="7">
        <v>1</v>
      </c>
      <c r="G633" s="7">
        <v>1</v>
      </c>
      <c r="H633" s="7">
        <v>2</v>
      </c>
      <c r="I633" s="7">
        <v>2</v>
      </c>
      <c r="J633" s="7">
        <v>2</v>
      </c>
      <c r="K633" s="159">
        <f t="shared" si="10"/>
        <v>0.37356464144298934</v>
      </c>
    </row>
    <row r="634" spans="1:11">
      <c r="A634" s="7" t="s">
        <v>2042</v>
      </c>
      <c r="B634" s="7">
        <v>2016</v>
      </c>
      <c r="C634" s="7" t="s">
        <v>93</v>
      </c>
      <c r="D634" s="64">
        <v>141.48615135444686</v>
      </c>
      <c r="E634" s="7" t="s">
        <v>2040</v>
      </c>
      <c r="F634" s="7">
        <v>1</v>
      </c>
      <c r="G634" s="7">
        <v>1</v>
      </c>
      <c r="H634" s="7">
        <v>2</v>
      </c>
      <c r="I634" s="7">
        <v>2</v>
      </c>
      <c r="J634" s="7">
        <v>2</v>
      </c>
      <c r="K634" s="159">
        <f t="shared" si="10"/>
        <v>0.37356464144298934</v>
      </c>
    </row>
    <row r="635" spans="1:11">
      <c r="A635" s="7" t="s">
        <v>2042</v>
      </c>
      <c r="B635" s="7">
        <v>2016</v>
      </c>
      <c r="C635" s="7" t="s">
        <v>90</v>
      </c>
      <c r="D635" s="64">
        <v>90.958735185302729</v>
      </c>
      <c r="E635" s="7" t="s">
        <v>2040</v>
      </c>
      <c r="F635" s="7">
        <v>1</v>
      </c>
      <c r="G635" s="7">
        <v>1</v>
      </c>
      <c r="H635" s="7">
        <v>2</v>
      </c>
      <c r="I635" s="7">
        <v>2</v>
      </c>
      <c r="J635" s="7">
        <v>2</v>
      </c>
      <c r="K635" s="159">
        <f t="shared" si="10"/>
        <v>0.37356464144298934</v>
      </c>
    </row>
    <row r="636" spans="1:11">
      <c r="A636" s="7" t="s">
        <v>2042</v>
      </c>
      <c r="B636" s="7">
        <v>2016</v>
      </c>
      <c r="C636" s="7" t="s">
        <v>92</v>
      </c>
      <c r="D636" s="64">
        <v>187.48697148510038</v>
      </c>
      <c r="E636" s="7" t="s">
        <v>2040</v>
      </c>
      <c r="F636" s="7">
        <v>1</v>
      </c>
      <c r="G636" s="7">
        <v>1</v>
      </c>
      <c r="H636" s="7">
        <v>2</v>
      </c>
      <c r="I636" s="7">
        <v>2</v>
      </c>
      <c r="J636" s="7">
        <v>2</v>
      </c>
      <c r="K636" s="159">
        <f t="shared" si="10"/>
        <v>0.37356464144298934</v>
      </c>
    </row>
    <row r="637" spans="1:11">
      <c r="A637" s="7" t="s">
        <v>2042</v>
      </c>
      <c r="B637" s="7">
        <v>2017</v>
      </c>
      <c r="C637" s="7" t="s">
        <v>99</v>
      </c>
      <c r="D637" s="64">
        <v>117.21644909596564</v>
      </c>
      <c r="E637" s="7" t="s">
        <v>2040</v>
      </c>
      <c r="F637" s="7">
        <v>1</v>
      </c>
      <c r="G637" s="7">
        <v>1</v>
      </c>
      <c r="H637" s="7">
        <v>2</v>
      </c>
      <c r="I637" s="7">
        <v>2</v>
      </c>
      <c r="J637" s="7">
        <v>2</v>
      </c>
      <c r="K637" s="159">
        <f t="shared" si="10"/>
        <v>0.37356464144298934</v>
      </c>
    </row>
    <row r="638" spans="1:11">
      <c r="A638" s="7" t="s">
        <v>2042</v>
      </c>
      <c r="B638" s="7">
        <v>2017</v>
      </c>
      <c r="C638" s="7" t="s">
        <v>98</v>
      </c>
      <c r="D638" s="64">
        <v>181.5643065133624</v>
      </c>
      <c r="E638" s="7" t="s">
        <v>2040</v>
      </c>
      <c r="F638" s="7">
        <v>1</v>
      </c>
      <c r="G638" s="7">
        <v>1</v>
      </c>
      <c r="H638" s="7">
        <v>2</v>
      </c>
      <c r="I638" s="7">
        <v>2</v>
      </c>
      <c r="J638" s="7">
        <v>2</v>
      </c>
      <c r="K638" s="159">
        <f t="shared" si="10"/>
        <v>0.37356464144298934</v>
      </c>
    </row>
    <row r="639" spans="1:11">
      <c r="A639" s="7" t="s">
        <v>2042</v>
      </c>
      <c r="B639" s="7">
        <v>2017</v>
      </c>
      <c r="C639" s="7" t="s">
        <v>95</v>
      </c>
      <c r="D639" s="64">
        <v>241.68568640267645</v>
      </c>
      <c r="E639" s="7" t="s">
        <v>2040</v>
      </c>
      <c r="F639" s="7">
        <v>1</v>
      </c>
      <c r="G639" s="7">
        <v>1</v>
      </c>
      <c r="H639" s="7">
        <v>2</v>
      </c>
      <c r="I639" s="7">
        <v>2</v>
      </c>
      <c r="J639" s="7">
        <v>2</v>
      </c>
      <c r="K639" s="159">
        <f t="shared" si="10"/>
        <v>0.37356464144298934</v>
      </c>
    </row>
    <row r="640" spans="1:11">
      <c r="A640" s="7" t="s">
        <v>2042</v>
      </c>
      <c r="B640" s="7">
        <v>2017</v>
      </c>
      <c r="C640" s="7" t="s">
        <v>91</v>
      </c>
      <c r="D640" s="64">
        <v>1260.3782346850405</v>
      </c>
      <c r="E640" s="7" t="s">
        <v>2040</v>
      </c>
      <c r="F640" s="7">
        <v>1</v>
      </c>
      <c r="G640" s="7">
        <v>1</v>
      </c>
      <c r="H640" s="7">
        <v>2</v>
      </c>
      <c r="I640" s="7">
        <v>2</v>
      </c>
      <c r="J640" s="7">
        <v>2</v>
      </c>
      <c r="K640" s="159">
        <f t="shared" si="10"/>
        <v>0.37356464144298934</v>
      </c>
    </row>
    <row r="641" spans="1:11">
      <c r="A641" s="7" t="s">
        <v>2042</v>
      </c>
      <c r="B641" s="7">
        <v>2017</v>
      </c>
      <c r="C641" s="7" t="s">
        <v>93</v>
      </c>
      <c r="D641" s="64">
        <v>147.4829835861708</v>
      </c>
      <c r="E641" s="7" t="s">
        <v>2040</v>
      </c>
      <c r="F641" s="7">
        <v>1</v>
      </c>
      <c r="G641" s="7">
        <v>1</v>
      </c>
      <c r="H641" s="7">
        <v>2</v>
      </c>
      <c r="I641" s="7">
        <v>2</v>
      </c>
      <c r="J641" s="7">
        <v>2</v>
      </c>
      <c r="K641" s="159">
        <f t="shared" si="10"/>
        <v>0.37356464144298934</v>
      </c>
    </row>
    <row r="642" spans="1:11">
      <c r="A642" s="7" t="s">
        <v>2042</v>
      </c>
      <c r="B642" s="7">
        <v>2017</v>
      </c>
      <c r="C642" s="7" t="s">
        <v>90</v>
      </c>
      <c r="D642" s="64">
        <v>94.900427986266862</v>
      </c>
      <c r="E642" s="7" t="s">
        <v>2040</v>
      </c>
      <c r="F642" s="7">
        <v>1</v>
      </c>
      <c r="G642" s="7">
        <v>1</v>
      </c>
      <c r="H642" s="7">
        <v>2</v>
      </c>
      <c r="I642" s="7">
        <v>2</v>
      </c>
      <c r="J642" s="7">
        <v>2</v>
      </c>
      <c r="K642" s="159">
        <f t="shared" si="10"/>
        <v>0.37356464144298934</v>
      </c>
    </row>
    <row r="643" spans="1:11">
      <c r="A643" s="7" t="s">
        <v>2042</v>
      </c>
      <c r="B643" s="7">
        <v>2017</v>
      </c>
      <c r="C643" s="7" t="s">
        <v>92</v>
      </c>
      <c r="D643" s="64">
        <v>196.69152581052009</v>
      </c>
      <c r="E643" s="7" t="s">
        <v>2040</v>
      </c>
      <c r="F643" s="7">
        <v>1</v>
      </c>
      <c r="G643" s="7">
        <v>1</v>
      </c>
      <c r="H643" s="7">
        <v>2</v>
      </c>
      <c r="I643" s="7">
        <v>2</v>
      </c>
      <c r="J643" s="7">
        <v>2</v>
      </c>
      <c r="K643" s="159">
        <f t="shared" si="10"/>
        <v>0.37356464144298934</v>
      </c>
    </row>
    <row r="644" spans="1:11">
      <c r="A644" s="7" t="s">
        <v>2042</v>
      </c>
      <c r="B644" s="7">
        <v>2018</v>
      </c>
      <c r="C644" s="7" t="s">
        <v>99</v>
      </c>
      <c r="D644" s="64">
        <v>129.1984027866045</v>
      </c>
      <c r="E644" s="7" t="s">
        <v>2040</v>
      </c>
      <c r="F644" s="7">
        <v>1</v>
      </c>
      <c r="G644" s="7">
        <v>1</v>
      </c>
      <c r="H644" s="7">
        <v>2</v>
      </c>
      <c r="I644" s="7">
        <v>2</v>
      </c>
      <c r="J644" s="7">
        <v>2</v>
      </c>
      <c r="K644" s="159">
        <f t="shared" si="10"/>
        <v>0.37356464144298934</v>
      </c>
    </row>
    <row r="645" spans="1:11">
      <c r="A645" s="7" t="s">
        <v>2042</v>
      </c>
      <c r="B645" s="7">
        <v>2018</v>
      </c>
      <c r="C645" s="7" t="s">
        <v>98</v>
      </c>
      <c r="D645" s="64">
        <v>208.41061381929524</v>
      </c>
      <c r="E645" s="7" t="s">
        <v>2040</v>
      </c>
      <c r="F645" s="7">
        <v>1</v>
      </c>
      <c r="G645" s="7">
        <v>1</v>
      </c>
      <c r="H645" s="7">
        <v>2</v>
      </c>
      <c r="I645" s="7">
        <v>2</v>
      </c>
      <c r="J645" s="7">
        <v>2</v>
      </c>
      <c r="K645" s="159">
        <f t="shared" si="10"/>
        <v>0.37356464144298934</v>
      </c>
    </row>
    <row r="646" spans="1:11">
      <c r="A646" s="7" t="s">
        <v>2042</v>
      </c>
      <c r="B646" s="7">
        <v>2018</v>
      </c>
      <c r="C646" s="7" t="s">
        <v>95</v>
      </c>
      <c r="D646" s="64">
        <v>272.41057670050481</v>
      </c>
      <c r="E646" s="7" t="s">
        <v>2040</v>
      </c>
      <c r="F646" s="7">
        <v>1</v>
      </c>
      <c r="G646" s="7">
        <v>1</v>
      </c>
      <c r="H646" s="7">
        <v>2</v>
      </c>
      <c r="I646" s="7">
        <v>2</v>
      </c>
      <c r="J646" s="7">
        <v>2</v>
      </c>
      <c r="K646" s="159">
        <f t="shared" si="10"/>
        <v>0.37356464144298934</v>
      </c>
    </row>
    <row r="647" spans="1:11">
      <c r="A647" s="7" t="s">
        <v>2042</v>
      </c>
      <c r="B647" s="7">
        <v>2018</v>
      </c>
      <c r="C647" s="7" t="s">
        <v>91</v>
      </c>
      <c r="D647" s="64">
        <v>1396.6419779793355</v>
      </c>
      <c r="E647" s="7" t="s">
        <v>2040</v>
      </c>
      <c r="F647" s="7">
        <v>1</v>
      </c>
      <c r="G647" s="7">
        <v>1</v>
      </c>
      <c r="H647" s="7">
        <v>2</v>
      </c>
      <c r="I647" s="7">
        <v>2</v>
      </c>
      <c r="J647" s="7">
        <v>2</v>
      </c>
      <c r="K647" s="159">
        <f t="shared" si="10"/>
        <v>0.37356464144298934</v>
      </c>
    </row>
    <row r="648" spans="1:11">
      <c r="A648" s="7" t="s">
        <v>2042</v>
      </c>
      <c r="B648" s="7">
        <v>2018</v>
      </c>
      <c r="C648" s="7" t="s">
        <v>93</v>
      </c>
      <c r="D648" s="64">
        <v>156.03206073115211</v>
      </c>
      <c r="E648" s="7" t="s">
        <v>2040</v>
      </c>
      <c r="F648" s="7">
        <v>1</v>
      </c>
      <c r="G648" s="7">
        <v>1</v>
      </c>
      <c r="H648" s="7">
        <v>2</v>
      </c>
      <c r="I648" s="7">
        <v>2</v>
      </c>
      <c r="J648" s="7">
        <v>2</v>
      </c>
      <c r="K648" s="159">
        <f t="shared" si="10"/>
        <v>0.37356464144298934</v>
      </c>
    </row>
    <row r="649" spans="1:11">
      <c r="A649" s="7" t="s">
        <v>2042</v>
      </c>
      <c r="B649" s="7">
        <v>2018</v>
      </c>
      <c r="C649" s="7" t="s">
        <v>90</v>
      </c>
      <c r="D649" s="64">
        <v>101.03765793704395</v>
      </c>
      <c r="E649" s="7" t="s">
        <v>2040</v>
      </c>
      <c r="F649" s="7">
        <v>1</v>
      </c>
      <c r="G649" s="7">
        <v>1</v>
      </c>
      <c r="H649" s="7">
        <v>2</v>
      </c>
      <c r="I649" s="7">
        <v>2</v>
      </c>
      <c r="J649" s="7">
        <v>2</v>
      </c>
      <c r="K649" s="159">
        <f t="shared" si="10"/>
        <v>0.37356464144298934</v>
      </c>
    </row>
    <row r="650" spans="1:11">
      <c r="A650" s="7" t="s">
        <v>2042</v>
      </c>
      <c r="B650" s="7">
        <v>2018</v>
      </c>
      <c r="C650" s="7" t="s">
        <v>92</v>
      </c>
      <c r="D650" s="64">
        <v>216.56189812521248</v>
      </c>
      <c r="E650" s="7" t="s">
        <v>2040</v>
      </c>
      <c r="F650" s="7">
        <v>1</v>
      </c>
      <c r="G650" s="7">
        <v>1</v>
      </c>
      <c r="H650" s="7">
        <v>2</v>
      </c>
      <c r="I650" s="7">
        <v>2</v>
      </c>
      <c r="J650" s="7">
        <v>2</v>
      </c>
      <c r="K650" s="159">
        <f t="shared" si="10"/>
        <v>0.37356464144298934</v>
      </c>
    </row>
    <row r="651" spans="1:11">
      <c r="A651" s="7" t="s">
        <v>2042</v>
      </c>
      <c r="B651" s="7">
        <v>2019</v>
      </c>
      <c r="C651" s="7" t="s">
        <v>99</v>
      </c>
      <c r="D651" s="64">
        <v>124.75484124151612</v>
      </c>
      <c r="E651" s="7" t="s">
        <v>2040</v>
      </c>
      <c r="F651" s="7">
        <v>1</v>
      </c>
      <c r="G651" s="7">
        <v>1</v>
      </c>
      <c r="H651" s="7">
        <v>2</v>
      </c>
      <c r="I651" s="7">
        <v>2</v>
      </c>
      <c r="J651" s="7">
        <v>2</v>
      </c>
      <c r="K651" s="159">
        <f t="shared" si="10"/>
        <v>0.37356464144298934</v>
      </c>
    </row>
    <row r="652" spans="1:11">
      <c r="A652" s="7" t="s">
        <v>2042</v>
      </c>
      <c r="B652" s="7">
        <v>2019</v>
      </c>
      <c r="C652" s="7" t="s">
        <v>98</v>
      </c>
      <c r="D652" s="64">
        <v>204.69046301822823</v>
      </c>
      <c r="E652" s="7" t="s">
        <v>2040</v>
      </c>
      <c r="F652" s="7">
        <v>1</v>
      </c>
      <c r="G652" s="7">
        <v>1</v>
      </c>
      <c r="H652" s="7">
        <v>2</v>
      </c>
      <c r="I652" s="7">
        <v>2</v>
      </c>
      <c r="J652" s="7">
        <v>2</v>
      </c>
      <c r="K652" s="159">
        <f t="shared" si="10"/>
        <v>0.37356464144298934</v>
      </c>
    </row>
    <row r="653" spans="1:11">
      <c r="A653" s="7" t="s">
        <v>2042</v>
      </c>
      <c r="B653" s="7">
        <v>2019</v>
      </c>
      <c r="C653" s="7" t="s">
        <v>95</v>
      </c>
      <c r="D653" s="64">
        <v>264.6248485397233</v>
      </c>
      <c r="E653" s="7" t="s">
        <v>2040</v>
      </c>
      <c r="F653" s="7">
        <v>1</v>
      </c>
      <c r="G653" s="7">
        <v>1</v>
      </c>
      <c r="H653" s="7">
        <v>2</v>
      </c>
      <c r="I653" s="7">
        <v>2</v>
      </c>
      <c r="J653" s="7">
        <v>2</v>
      </c>
      <c r="K653" s="159">
        <f t="shared" si="10"/>
        <v>0.37356464144298934</v>
      </c>
    </row>
    <row r="654" spans="1:11">
      <c r="A654" s="7" t="s">
        <v>2042</v>
      </c>
      <c r="B654" s="7">
        <v>2019</v>
      </c>
      <c r="C654" s="7" t="s">
        <v>91</v>
      </c>
      <c r="D654" s="64">
        <v>1358.6245419214561</v>
      </c>
      <c r="E654" s="7" t="s">
        <v>2040</v>
      </c>
      <c r="F654" s="7">
        <v>1</v>
      </c>
      <c r="G654" s="7">
        <v>1</v>
      </c>
      <c r="H654" s="7">
        <v>2</v>
      </c>
      <c r="I654" s="7">
        <v>2</v>
      </c>
      <c r="J654" s="7">
        <v>2</v>
      </c>
      <c r="K654" s="159">
        <f t="shared" si="10"/>
        <v>0.37356464144298934</v>
      </c>
    </row>
    <row r="655" spans="1:11">
      <c r="A655" s="7" t="s">
        <v>2042</v>
      </c>
      <c r="B655" s="7">
        <v>2019</v>
      </c>
      <c r="C655" s="7" t="s">
        <v>93</v>
      </c>
      <c r="D655" s="64">
        <v>154.02339582210601</v>
      </c>
      <c r="E655" s="7" t="s">
        <v>2040</v>
      </c>
      <c r="F655" s="7">
        <v>1</v>
      </c>
      <c r="G655" s="7">
        <v>1</v>
      </c>
      <c r="H655" s="7">
        <v>2</v>
      </c>
      <c r="I655" s="7">
        <v>2</v>
      </c>
      <c r="J655" s="7">
        <v>2</v>
      </c>
      <c r="K655" s="159">
        <f t="shared" si="10"/>
        <v>0.37356464144298934</v>
      </c>
    </row>
    <row r="656" spans="1:11">
      <c r="A656" s="7" t="s">
        <v>2042</v>
      </c>
      <c r="B656" s="7">
        <v>2019</v>
      </c>
      <c r="C656" s="7" t="s">
        <v>90</v>
      </c>
      <c r="D656" s="64">
        <v>99.579580821781335</v>
      </c>
      <c r="E656" s="7" t="s">
        <v>2040</v>
      </c>
      <c r="F656" s="7">
        <v>1</v>
      </c>
      <c r="G656" s="7">
        <v>1</v>
      </c>
      <c r="H656" s="7">
        <v>2</v>
      </c>
      <c r="I656" s="7">
        <v>2</v>
      </c>
      <c r="J656" s="7">
        <v>2</v>
      </c>
      <c r="K656" s="159">
        <f t="shared" si="10"/>
        <v>0.37356464144298934</v>
      </c>
    </row>
    <row r="657" spans="1:11">
      <c r="A657" s="7" t="s">
        <v>2042</v>
      </c>
      <c r="B657" s="7">
        <v>2019</v>
      </c>
      <c r="C657" s="7" t="s">
        <v>92</v>
      </c>
      <c r="D657" s="64">
        <v>210.78190944042822</v>
      </c>
      <c r="E657" s="7" t="s">
        <v>2040</v>
      </c>
      <c r="F657" s="7">
        <v>1</v>
      </c>
      <c r="G657" s="7">
        <v>1</v>
      </c>
      <c r="H657" s="7">
        <v>2</v>
      </c>
      <c r="I657" s="7">
        <v>2</v>
      </c>
      <c r="J657" s="7">
        <v>2</v>
      </c>
      <c r="K657" s="159">
        <f t="shared" si="10"/>
        <v>0.37356464144298934</v>
      </c>
    </row>
    <row r="658" spans="1:11">
      <c r="A658" s="7" t="s">
        <v>2042</v>
      </c>
      <c r="B658" s="7">
        <v>2020</v>
      </c>
      <c r="C658" s="7" t="s">
        <v>99</v>
      </c>
      <c r="D658" s="64">
        <v>102.37632480198386</v>
      </c>
      <c r="E658" s="7" t="s">
        <v>2040</v>
      </c>
      <c r="F658" s="7">
        <v>1</v>
      </c>
      <c r="G658" s="7">
        <v>1</v>
      </c>
      <c r="H658" s="7">
        <v>2</v>
      </c>
      <c r="I658" s="7">
        <v>2</v>
      </c>
      <c r="J658" s="7">
        <v>2</v>
      </c>
      <c r="K658" s="159">
        <f t="shared" si="10"/>
        <v>0.37356464144298934</v>
      </c>
    </row>
    <row r="659" spans="1:11">
      <c r="A659" s="7" t="s">
        <v>2042</v>
      </c>
      <c r="B659" s="7">
        <v>2020</v>
      </c>
      <c r="C659" s="7" t="s">
        <v>98</v>
      </c>
      <c r="D659" s="64">
        <v>161.33301867575491</v>
      </c>
      <c r="E659" s="7" t="s">
        <v>2040</v>
      </c>
      <c r="F659" s="7">
        <v>1</v>
      </c>
      <c r="G659" s="7">
        <v>1</v>
      </c>
      <c r="H659" s="7">
        <v>2</v>
      </c>
      <c r="I659" s="7">
        <v>2</v>
      </c>
      <c r="J659" s="7">
        <v>2</v>
      </c>
      <c r="K659" s="159">
        <f t="shared" ref="K659:K722" si="11">IF( OR( ISBLANK(F659),ISBLANK(G659), ISBLANK(H659), ISBLANK(I659), ISBLANK(J659) ), "", 1.5*SQRT(   EXP(2.21*(F659-1)) + EXP(2.21*(G659-1)) + EXP(2.21*(H659-1)) + EXP(2.21*(I659-1)) + EXP(2.21*J659)   )/100*2.45 )</f>
        <v>0.37356464144298934</v>
      </c>
    </row>
    <row r="660" spans="1:11">
      <c r="A660" s="7" t="s">
        <v>2042</v>
      </c>
      <c r="B660" s="7">
        <v>2020</v>
      </c>
      <c r="C660" s="7" t="s">
        <v>95</v>
      </c>
      <c r="D660" s="64">
        <v>213.63852657389151</v>
      </c>
      <c r="E660" s="7" t="s">
        <v>2040</v>
      </c>
      <c r="F660" s="7">
        <v>1</v>
      </c>
      <c r="G660" s="7">
        <v>1</v>
      </c>
      <c r="H660" s="7">
        <v>2</v>
      </c>
      <c r="I660" s="7">
        <v>2</v>
      </c>
      <c r="J660" s="7">
        <v>2</v>
      </c>
      <c r="K660" s="159">
        <f t="shared" si="11"/>
        <v>0.37356464144298934</v>
      </c>
    </row>
    <row r="661" spans="1:11">
      <c r="A661" s="7" t="s">
        <v>2042</v>
      </c>
      <c r="B661" s="7">
        <v>2020</v>
      </c>
      <c r="C661" s="7" t="s">
        <v>91</v>
      </c>
      <c r="D661" s="64">
        <v>1075.5216512168049</v>
      </c>
      <c r="E661" s="7" t="s">
        <v>2040</v>
      </c>
      <c r="F661" s="7">
        <v>1</v>
      </c>
      <c r="G661" s="7">
        <v>1</v>
      </c>
      <c r="H661" s="7">
        <v>2</v>
      </c>
      <c r="I661" s="7">
        <v>2</v>
      </c>
      <c r="J661" s="7">
        <v>2</v>
      </c>
      <c r="K661" s="159">
        <f t="shared" si="11"/>
        <v>0.37356464144298934</v>
      </c>
    </row>
    <row r="662" spans="1:11">
      <c r="A662" s="7" t="s">
        <v>2042</v>
      </c>
      <c r="B662" s="7">
        <v>2020</v>
      </c>
      <c r="C662" s="7" t="s">
        <v>93</v>
      </c>
      <c r="D662" s="64">
        <v>123.30334174942438</v>
      </c>
      <c r="E662" s="7" t="s">
        <v>2040</v>
      </c>
      <c r="F662" s="7">
        <v>1</v>
      </c>
      <c r="G662" s="7">
        <v>1</v>
      </c>
      <c r="H662" s="7">
        <v>2</v>
      </c>
      <c r="I662" s="7">
        <v>2</v>
      </c>
      <c r="J662" s="7">
        <v>2</v>
      </c>
      <c r="K662" s="159">
        <f t="shared" si="11"/>
        <v>0.37356464144298934</v>
      </c>
    </row>
    <row r="663" spans="1:11">
      <c r="A663" s="7" t="s">
        <v>2042</v>
      </c>
      <c r="B663" s="7">
        <v>2020</v>
      </c>
      <c r="C663" s="7" t="s">
        <v>90</v>
      </c>
      <c r="D663" s="64">
        <v>79.407485617291172</v>
      </c>
      <c r="E663" s="7" t="s">
        <v>2040</v>
      </c>
      <c r="F663" s="7">
        <v>1</v>
      </c>
      <c r="G663" s="7">
        <v>1</v>
      </c>
      <c r="H663" s="7">
        <v>2</v>
      </c>
      <c r="I663" s="7">
        <v>2</v>
      </c>
      <c r="J663" s="7">
        <v>2</v>
      </c>
      <c r="K663" s="159">
        <f t="shared" si="11"/>
        <v>0.37356464144298934</v>
      </c>
    </row>
    <row r="664" spans="1:11">
      <c r="A664" s="7" t="s">
        <v>2042</v>
      </c>
      <c r="B664" s="7">
        <v>2020</v>
      </c>
      <c r="C664" s="7" t="s">
        <v>92</v>
      </c>
      <c r="D664" s="64">
        <v>163.97255709559889</v>
      </c>
      <c r="E664" s="7" t="s">
        <v>2040</v>
      </c>
      <c r="F664" s="7">
        <v>1</v>
      </c>
      <c r="G664" s="7">
        <v>1</v>
      </c>
      <c r="H664" s="7">
        <v>2</v>
      </c>
      <c r="I664" s="7">
        <v>2</v>
      </c>
      <c r="J664" s="7">
        <v>2</v>
      </c>
      <c r="K664" s="159">
        <f t="shared" si="11"/>
        <v>0.37356464144298934</v>
      </c>
    </row>
    <row r="665" spans="1:11">
      <c r="A665" s="7" t="s">
        <v>2042</v>
      </c>
      <c r="B665" s="7">
        <v>2021</v>
      </c>
      <c r="C665" s="7" t="s">
        <v>99</v>
      </c>
      <c r="D665" s="64">
        <v>113.3251195172403</v>
      </c>
      <c r="E665" s="7" t="s">
        <v>2040</v>
      </c>
      <c r="F665" s="7">
        <v>1</v>
      </c>
      <c r="G665" s="7">
        <v>1</v>
      </c>
      <c r="H665" s="7">
        <v>2</v>
      </c>
      <c r="I665" s="7">
        <v>2</v>
      </c>
      <c r="J665" s="7">
        <v>2</v>
      </c>
      <c r="K665" s="159">
        <f t="shared" si="11"/>
        <v>0.37356464144298934</v>
      </c>
    </row>
    <row r="666" spans="1:11">
      <c r="A666" s="7" t="s">
        <v>2042</v>
      </c>
      <c r="B666" s="7">
        <v>2021</v>
      </c>
      <c r="C666" s="7" t="s">
        <v>98</v>
      </c>
      <c r="D666" s="64">
        <v>169.80710057016137</v>
      </c>
      <c r="E666" s="7" t="s">
        <v>2040</v>
      </c>
      <c r="F666" s="7">
        <v>1</v>
      </c>
      <c r="G666" s="7">
        <v>1</v>
      </c>
      <c r="H666" s="7">
        <v>2</v>
      </c>
      <c r="I666" s="7">
        <v>2</v>
      </c>
      <c r="J666" s="7">
        <v>2</v>
      </c>
      <c r="K666" s="159">
        <f t="shared" si="11"/>
        <v>0.37356464144298934</v>
      </c>
    </row>
    <row r="667" spans="1:11">
      <c r="A667" s="7" t="s">
        <v>2042</v>
      </c>
      <c r="B667" s="7">
        <v>2021</v>
      </c>
      <c r="C667" s="7" t="s">
        <v>95</v>
      </c>
      <c r="D667" s="64">
        <v>235.40868887089127</v>
      </c>
      <c r="E667" s="7" t="s">
        <v>2040</v>
      </c>
      <c r="F667" s="7">
        <v>1</v>
      </c>
      <c r="G667" s="7">
        <v>1</v>
      </c>
      <c r="H667" s="7">
        <v>2</v>
      </c>
      <c r="I667" s="7">
        <v>2</v>
      </c>
      <c r="J667" s="7">
        <v>2</v>
      </c>
      <c r="K667" s="159">
        <f t="shared" si="11"/>
        <v>0.37356464144298934</v>
      </c>
    </row>
    <row r="668" spans="1:11">
      <c r="A668" s="7" t="s">
        <v>2042</v>
      </c>
      <c r="B668" s="7">
        <v>2021</v>
      </c>
      <c r="C668" s="7" t="s">
        <v>91</v>
      </c>
      <c r="D668" s="64">
        <v>1165.0967021865949</v>
      </c>
      <c r="E668" s="7" t="s">
        <v>2040</v>
      </c>
      <c r="F668" s="7">
        <v>1</v>
      </c>
      <c r="G668" s="7">
        <v>1</v>
      </c>
      <c r="H668" s="7">
        <v>2</v>
      </c>
      <c r="I668" s="7">
        <v>2</v>
      </c>
      <c r="J668" s="7">
        <v>2</v>
      </c>
      <c r="K668" s="159">
        <f t="shared" si="11"/>
        <v>0.37356464144298934</v>
      </c>
    </row>
    <row r="669" spans="1:11">
      <c r="A669" s="7" t="s">
        <v>2042</v>
      </c>
      <c r="B669" s="7">
        <v>2021</v>
      </c>
      <c r="C669" s="7" t="s">
        <v>93</v>
      </c>
      <c r="D669" s="64">
        <v>121.49018578342412</v>
      </c>
      <c r="E669" s="7" t="s">
        <v>2040</v>
      </c>
      <c r="F669" s="7">
        <v>1</v>
      </c>
      <c r="G669" s="7">
        <v>1</v>
      </c>
      <c r="H669" s="7">
        <v>2</v>
      </c>
      <c r="I669" s="7">
        <v>2</v>
      </c>
      <c r="J669" s="7">
        <v>2</v>
      </c>
      <c r="K669" s="159">
        <f t="shared" si="11"/>
        <v>0.37356464144298934</v>
      </c>
    </row>
    <row r="670" spans="1:11">
      <c r="A670" s="7" t="s">
        <v>2042</v>
      </c>
      <c r="B670" s="7">
        <v>2021</v>
      </c>
      <c r="C670" s="7" t="s">
        <v>90</v>
      </c>
      <c r="D670" s="64">
        <v>78.395132887155654</v>
      </c>
      <c r="E670" s="7" t="s">
        <v>2040</v>
      </c>
      <c r="F670" s="7">
        <v>1</v>
      </c>
      <c r="G670" s="7">
        <v>1</v>
      </c>
      <c r="H670" s="7">
        <v>2</v>
      </c>
      <c r="I670" s="7">
        <v>2</v>
      </c>
      <c r="J670" s="7">
        <v>2</v>
      </c>
      <c r="K670" s="159">
        <f t="shared" si="11"/>
        <v>0.37356464144298934</v>
      </c>
    </row>
    <row r="671" spans="1:11">
      <c r="A671" s="7" t="s">
        <v>2042</v>
      </c>
      <c r="B671" s="7">
        <v>2021</v>
      </c>
      <c r="C671" s="7" t="s">
        <v>92</v>
      </c>
      <c r="D671" s="64">
        <v>163.59652100912916</v>
      </c>
      <c r="E671" s="7" t="s">
        <v>2040</v>
      </c>
      <c r="F671" s="7">
        <v>1</v>
      </c>
      <c r="G671" s="7">
        <v>1</v>
      </c>
      <c r="H671" s="7">
        <v>2</v>
      </c>
      <c r="I671" s="7">
        <v>2</v>
      </c>
      <c r="J671" s="7">
        <v>2</v>
      </c>
      <c r="K671" s="159">
        <f t="shared" si="11"/>
        <v>0.37356464144298934</v>
      </c>
    </row>
    <row r="672" spans="1:11">
      <c r="A672" s="7" t="s">
        <v>2042</v>
      </c>
      <c r="B672" s="7">
        <v>2022</v>
      </c>
      <c r="C672" s="7" t="s">
        <v>99</v>
      </c>
      <c r="D672" s="64">
        <v>141.02659951072633</v>
      </c>
      <c r="E672" s="7" t="s">
        <v>2040</v>
      </c>
      <c r="F672" s="7">
        <v>1</v>
      </c>
      <c r="G672" s="7">
        <v>1</v>
      </c>
      <c r="H672" s="7">
        <v>2</v>
      </c>
      <c r="I672" s="7">
        <v>2</v>
      </c>
      <c r="J672" s="7">
        <v>2</v>
      </c>
      <c r="K672" s="159">
        <f t="shared" si="11"/>
        <v>0.37356464144298934</v>
      </c>
    </row>
    <row r="673" spans="1:11">
      <c r="A673" s="7" t="s">
        <v>2042</v>
      </c>
      <c r="B673" s="7">
        <v>2022</v>
      </c>
      <c r="C673" s="7" t="s">
        <v>98</v>
      </c>
      <c r="D673" s="64">
        <v>216.28637948109096</v>
      </c>
      <c r="E673" s="7" t="s">
        <v>2040</v>
      </c>
      <c r="F673" s="7">
        <v>1</v>
      </c>
      <c r="G673" s="7">
        <v>1</v>
      </c>
      <c r="H673" s="7">
        <v>2</v>
      </c>
      <c r="I673" s="7">
        <v>2</v>
      </c>
      <c r="J673" s="7">
        <v>2</v>
      </c>
      <c r="K673" s="159">
        <f t="shared" si="11"/>
        <v>0.37356464144298934</v>
      </c>
    </row>
    <row r="674" spans="1:11">
      <c r="A674" s="7" t="s">
        <v>2042</v>
      </c>
      <c r="B674" s="7">
        <v>2022</v>
      </c>
      <c r="C674" s="7" t="s">
        <v>95</v>
      </c>
      <c r="D674" s="64">
        <v>292.25351751807887</v>
      </c>
      <c r="E674" s="7" t="s">
        <v>2040</v>
      </c>
      <c r="F674" s="7">
        <v>1</v>
      </c>
      <c r="G674" s="7">
        <v>1</v>
      </c>
      <c r="H674" s="7">
        <v>2</v>
      </c>
      <c r="I674" s="7">
        <v>2</v>
      </c>
      <c r="J674" s="7">
        <v>2</v>
      </c>
      <c r="K674" s="159">
        <f t="shared" si="11"/>
        <v>0.37356464144298934</v>
      </c>
    </row>
    <row r="675" spans="1:11">
      <c r="A675" s="7" t="s">
        <v>2042</v>
      </c>
      <c r="B675" s="7">
        <v>2022</v>
      </c>
      <c r="C675" s="7" t="s">
        <v>91</v>
      </c>
      <c r="D675" s="64">
        <v>1453.0307605512528</v>
      </c>
      <c r="E675" s="7" t="s">
        <v>2040</v>
      </c>
      <c r="F675" s="7">
        <v>1</v>
      </c>
      <c r="G675" s="7">
        <v>1</v>
      </c>
      <c r="H675" s="7">
        <v>2</v>
      </c>
      <c r="I675" s="7">
        <v>2</v>
      </c>
      <c r="J675" s="7">
        <v>2</v>
      </c>
      <c r="K675" s="159">
        <f t="shared" si="11"/>
        <v>0.37356464144298934</v>
      </c>
    </row>
    <row r="676" spans="1:11">
      <c r="A676" s="7" t="s">
        <v>2042</v>
      </c>
      <c r="B676" s="7">
        <v>2022</v>
      </c>
      <c r="C676" s="7" t="s">
        <v>93</v>
      </c>
      <c r="D676" s="64">
        <v>158.98860370720823</v>
      </c>
      <c r="E676" s="7" t="s">
        <v>2040</v>
      </c>
      <c r="F676" s="7">
        <v>1</v>
      </c>
      <c r="G676" s="7">
        <v>1</v>
      </c>
      <c r="H676" s="7">
        <v>2</v>
      </c>
      <c r="I676" s="7">
        <v>2</v>
      </c>
      <c r="J676" s="7">
        <v>2</v>
      </c>
      <c r="K676" s="159">
        <f t="shared" si="11"/>
        <v>0.37356464144298934</v>
      </c>
    </row>
    <row r="677" spans="1:11">
      <c r="A677" s="7" t="s">
        <v>2042</v>
      </c>
      <c r="B677" s="7">
        <v>2022</v>
      </c>
      <c r="C677" s="7" t="s">
        <v>90</v>
      </c>
      <c r="D677" s="64">
        <v>102.70798337367832</v>
      </c>
      <c r="E677" s="7" t="s">
        <v>2040</v>
      </c>
      <c r="F677" s="7">
        <v>1</v>
      </c>
      <c r="G677" s="7">
        <v>1</v>
      </c>
      <c r="H677" s="7">
        <v>2</v>
      </c>
      <c r="I677" s="7">
        <v>2</v>
      </c>
      <c r="J677" s="7">
        <v>2</v>
      </c>
      <c r="K677" s="159">
        <f t="shared" si="11"/>
        <v>0.37356464144298934</v>
      </c>
    </row>
    <row r="678" spans="1:11">
      <c r="A678" s="7" t="s">
        <v>2042</v>
      </c>
      <c r="B678" s="7">
        <v>2022</v>
      </c>
      <c r="C678" s="7" t="s">
        <v>92</v>
      </c>
      <c r="D678" s="64">
        <v>215.88536511890467</v>
      </c>
      <c r="E678" s="7" t="s">
        <v>2040</v>
      </c>
      <c r="F678" s="7">
        <v>1</v>
      </c>
      <c r="G678" s="7">
        <v>1</v>
      </c>
      <c r="H678" s="7">
        <v>2</v>
      </c>
      <c r="I678" s="7">
        <v>2</v>
      </c>
      <c r="J678" s="7">
        <v>2</v>
      </c>
      <c r="K678" s="159">
        <f t="shared" si="11"/>
        <v>0.37356464144298934</v>
      </c>
    </row>
    <row r="679" spans="1:11">
      <c r="A679" s="7" t="s">
        <v>2042</v>
      </c>
      <c r="B679" s="7">
        <v>2011</v>
      </c>
      <c r="C679" s="7" t="s">
        <v>99</v>
      </c>
      <c r="D679" s="64">
        <v>156.45021115843022</v>
      </c>
      <c r="E679" s="7" t="s">
        <v>2041</v>
      </c>
      <c r="F679" s="7">
        <v>1</v>
      </c>
      <c r="G679" s="7">
        <v>1</v>
      </c>
      <c r="H679" s="7">
        <v>2</v>
      </c>
      <c r="I679" s="7">
        <v>2</v>
      </c>
      <c r="J679" s="7">
        <v>2</v>
      </c>
      <c r="K679" s="159">
        <f t="shared" si="11"/>
        <v>0.37356464144298934</v>
      </c>
    </row>
    <row r="680" spans="1:11">
      <c r="A680" s="7" t="s">
        <v>2042</v>
      </c>
      <c r="B680" s="7">
        <v>2011</v>
      </c>
      <c r="C680" s="7" t="s">
        <v>98</v>
      </c>
      <c r="D680" s="64">
        <v>256.44340767742403</v>
      </c>
      <c r="E680" s="7" t="s">
        <v>2041</v>
      </c>
      <c r="F680" s="7">
        <v>1</v>
      </c>
      <c r="G680" s="7">
        <v>1</v>
      </c>
      <c r="H680" s="7">
        <v>2</v>
      </c>
      <c r="I680" s="7">
        <v>2</v>
      </c>
      <c r="J680" s="7">
        <v>2</v>
      </c>
      <c r="K680" s="159">
        <f t="shared" si="11"/>
        <v>0.37356464144298934</v>
      </c>
    </row>
    <row r="681" spans="1:11">
      <c r="A681" s="7" t="s">
        <v>2042</v>
      </c>
      <c r="B681" s="7">
        <v>2011</v>
      </c>
      <c r="C681" s="7" t="s">
        <v>95</v>
      </c>
      <c r="D681" s="64">
        <v>342.80096639342116</v>
      </c>
      <c r="E681" s="7" t="s">
        <v>2041</v>
      </c>
      <c r="F681" s="7">
        <v>1</v>
      </c>
      <c r="G681" s="7">
        <v>1</v>
      </c>
      <c r="H681" s="7">
        <v>2</v>
      </c>
      <c r="I681" s="7">
        <v>2</v>
      </c>
      <c r="J681" s="7">
        <v>2</v>
      </c>
      <c r="K681" s="159">
        <f t="shared" si="11"/>
        <v>0.37356464144298934</v>
      </c>
    </row>
    <row r="682" spans="1:11">
      <c r="A682" s="7" t="s">
        <v>2042</v>
      </c>
      <c r="B682" s="7">
        <v>2011</v>
      </c>
      <c r="C682" s="7" t="s">
        <v>91</v>
      </c>
      <c r="D682" s="64">
        <v>1534.6343875324412</v>
      </c>
      <c r="E682" s="7" t="s">
        <v>2041</v>
      </c>
      <c r="F682" s="7">
        <v>1</v>
      </c>
      <c r="G682" s="7">
        <v>1</v>
      </c>
      <c r="H682" s="7">
        <v>2</v>
      </c>
      <c r="I682" s="7">
        <v>2</v>
      </c>
      <c r="J682" s="7">
        <v>2</v>
      </c>
      <c r="K682" s="159">
        <f t="shared" si="11"/>
        <v>0.37356464144298934</v>
      </c>
    </row>
    <row r="683" spans="1:11">
      <c r="A683" s="7" t="s">
        <v>2042</v>
      </c>
      <c r="B683" s="7">
        <v>2011</v>
      </c>
      <c r="C683" s="7" t="s">
        <v>93</v>
      </c>
      <c r="D683" s="64">
        <v>186.51740328277091</v>
      </c>
      <c r="E683" s="7" t="s">
        <v>2041</v>
      </c>
      <c r="F683" s="7">
        <v>1</v>
      </c>
      <c r="G683" s="7">
        <v>1</v>
      </c>
      <c r="H683" s="7">
        <v>2</v>
      </c>
      <c r="I683" s="7">
        <v>2</v>
      </c>
      <c r="J683" s="7">
        <v>2</v>
      </c>
      <c r="K683" s="159">
        <f t="shared" si="11"/>
        <v>0.37356464144298934</v>
      </c>
    </row>
    <row r="684" spans="1:11">
      <c r="A684" s="7" t="s">
        <v>2042</v>
      </c>
      <c r="B684" s="7">
        <v>2011</v>
      </c>
      <c r="C684" s="7" t="s">
        <v>90</v>
      </c>
      <c r="D684" s="64">
        <v>121.13184528357107</v>
      </c>
      <c r="E684" s="7" t="s">
        <v>2041</v>
      </c>
      <c r="F684" s="7">
        <v>1</v>
      </c>
      <c r="G684" s="7">
        <v>1</v>
      </c>
      <c r="H684" s="7">
        <v>2</v>
      </c>
      <c r="I684" s="7">
        <v>2</v>
      </c>
      <c r="J684" s="7">
        <v>2</v>
      </c>
      <c r="K684" s="159">
        <f t="shared" si="11"/>
        <v>0.37356464144298934</v>
      </c>
    </row>
    <row r="685" spans="1:11">
      <c r="A685" s="7" t="s">
        <v>2042</v>
      </c>
      <c r="B685" s="7">
        <v>2011</v>
      </c>
      <c r="C685" s="7" t="s">
        <v>92</v>
      </c>
      <c r="D685" s="64">
        <v>263.7602220387023</v>
      </c>
      <c r="E685" s="7" t="s">
        <v>2041</v>
      </c>
      <c r="F685" s="7">
        <v>1</v>
      </c>
      <c r="G685" s="7">
        <v>1</v>
      </c>
      <c r="H685" s="7">
        <v>2</v>
      </c>
      <c r="I685" s="7">
        <v>2</v>
      </c>
      <c r="J685" s="7">
        <v>2</v>
      </c>
      <c r="K685" s="159">
        <f t="shared" si="11"/>
        <v>0.37356464144298934</v>
      </c>
    </row>
    <row r="686" spans="1:11">
      <c r="A686" s="7" t="s">
        <v>2042</v>
      </c>
      <c r="B686" s="7">
        <v>2012</v>
      </c>
      <c r="C686" s="7" t="s">
        <v>99</v>
      </c>
      <c r="D686" s="64">
        <v>116.94158174815253</v>
      </c>
      <c r="E686" s="7" t="s">
        <v>2041</v>
      </c>
      <c r="F686" s="7">
        <v>1</v>
      </c>
      <c r="G686" s="7">
        <v>1</v>
      </c>
      <c r="H686" s="7">
        <v>2</v>
      </c>
      <c r="I686" s="7">
        <v>2</v>
      </c>
      <c r="J686" s="7">
        <v>2</v>
      </c>
      <c r="K686" s="159">
        <f t="shared" si="11"/>
        <v>0.37356464144298934</v>
      </c>
    </row>
    <row r="687" spans="1:11">
      <c r="A687" s="7" t="s">
        <v>2042</v>
      </c>
      <c r="B687" s="7">
        <v>2012</v>
      </c>
      <c r="C687" s="7" t="s">
        <v>98</v>
      </c>
      <c r="D687" s="64">
        <v>202.73636701859166</v>
      </c>
      <c r="E687" s="7" t="s">
        <v>2041</v>
      </c>
      <c r="F687" s="7">
        <v>1</v>
      </c>
      <c r="G687" s="7">
        <v>1</v>
      </c>
      <c r="H687" s="7">
        <v>2</v>
      </c>
      <c r="I687" s="7">
        <v>2</v>
      </c>
      <c r="J687" s="7">
        <v>2</v>
      </c>
      <c r="K687" s="159">
        <f t="shared" si="11"/>
        <v>0.37356464144298934</v>
      </c>
    </row>
    <row r="688" spans="1:11">
      <c r="A688" s="7" t="s">
        <v>2042</v>
      </c>
      <c r="B688" s="7">
        <v>2012</v>
      </c>
      <c r="C688" s="7" t="s">
        <v>95</v>
      </c>
      <c r="D688" s="64">
        <v>249.09332647338607</v>
      </c>
      <c r="E688" s="7" t="s">
        <v>2041</v>
      </c>
      <c r="F688" s="7">
        <v>1</v>
      </c>
      <c r="G688" s="7">
        <v>1</v>
      </c>
      <c r="H688" s="7">
        <v>2</v>
      </c>
      <c r="I688" s="7">
        <v>2</v>
      </c>
      <c r="J688" s="7">
        <v>2</v>
      </c>
      <c r="K688" s="159">
        <f t="shared" si="11"/>
        <v>0.37356464144298934</v>
      </c>
    </row>
    <row r="689" spans="1:11">
      <c r="A689" s="7" t="s">
        <v>2042</v>
      </c>
      <c r="B689" s="7">
        <v>2012</v>
      </c>
      <c r="C689" s="7" t="s">
        <v>91</v>
      </c>
      <c r="D689" s="64">
        <v>1313.4214345278285</v>
      </c>
      <c r="E689" s="7" t="s">
        <v>2041</v>
      </c>
      <c r="F689" s="7">
        <v>1</v>
      </c>
      <c r="G689" s="7">
        <v>1</v>
      </c>
      <c r="H689" s="7">
        <v>2</v>
      </c>
      <c r="I689" s="7">
        <v>2</v>
      </c>
      <c r="J689" s="7">
        <v>2</v>
      </c>
      <c r="K689" s="159">
        <f t="shared" si="11"/>
        <v>0.37356464144298934</v>
      </c>
    </row>
    <row r="690" spans="1:11">
      <c r="A690" s="7" t="s">
        <v>2042</v>
      </c>
      <c r="B690" s="7">
        <v>2012</v>
      </c>
      <c r="C690" s="7" t="s">
        <v>93</v>
      </c>
      <c r="D690" s="64">
        <v>166.22896235871892</v>
      </c>
      <c r="E690" s="7" t="s">
        <v>2041</v>
      </c>
      <c r="F690" s="7">
        <v>1</v>
      </c>
      <c r="G690" s="7">
        <v>1</v>
      </c>
      <c r="H690" s="7">
        <v>2</v>
      </c>
      <c r="I690" s="7">
        <v>2</v>
      </c>
      <c r="J690" s="7">
        <v>2</v>
      </c>
      <c r="K690" s="159">
        <f t="shared" si="11"/>
        <v>0.37356464144298934</v>
      </c>
    </row>
    <row r="691" spans="1:11">
      <c r="A691" s="7" t="s">
        <v>2042</v>
      </c>
      <c r="B691" s="7">
        <v>2012</v>
      </c>
      <c r="C691" s="7" t="s">
        <v>90</v>
      </c>
      <c r="D691" s="64">
        <v>107.33038817312612</v>
      </c>
      <c r="E691" s="7" t="s">
        <v>2041</v>
      </c>
      <c r="F691" s="7">
        <v>1</v>
      </c>
      <c r="G691" s="7">
        <v>1</v>
      </c>
      <c r="H691" s="7">
        <v>2</v>
      </c>
      <c r="I691" s="7">
        <v>2</v>
      </c>
      <c r="J691" s="7">
        <v>2</v>
      </c>
      <c r="K691" s="159">
        <f t="shared" si="11"/>
        <v>0.37356464144298934</v>
      </c>
    </row>
    <row r="692" spans="1:11">
      <c r="A692" s="7" t="s">
        <v>2042</v>
      </c>
      <c r="B692" s="7">
        <v>2012</v>
      </c>
      <c r="C692" s="7" t="s">
        <v>92</v>
      </c>
      <c r="D692" s="64">
        <v>227.36546953549217</v>
      </c>
      <c r="E692" s="7" t="s">
        <v>2041</v>
      </c>
      <c r="F692" s="7">
        <v>1</v>
      </c>
      <c r="G692" s="7">
        <v>1</v>
      </c>
      <c r="H692" s="7">
        <v>2</v>
      </c>
      <c r="I692" s="7">
        <v>2</v>
      </c>
      <c r="J692" s="7">
        <v>2</v>
      </c>
      <c r="K692" s="159">
        <f t="shared" si="11"/>
        <v>0.37356464144298934</v>
      </c>
    </row>
    <row r="693" spans="1:11">
      <c r="A693" s="7" t="s">
        <v>2042</v>
      </c>
      <c r="B693" s="7">
        <v>2013</v>
      </c>
      <c r="C693" s="7" t="s">
        <v>99</v>
      </c>
      <c r="D693" s="64">
        <v>123.89932441250909</v>
      </c>
      <c r="E693" s="7" t="s">
        <v>2041</v>
      </c>
      <c r="F693" s="7">
        <v>1</v>
      </c>
      <c r="G693" s="7">
        <v>1</v>
      </c>
      <c r="H693" s="7">
        <v>2</v>
      </c>
      <c r="I693" s="7">
        <v>2</v>
      </c>
      <c r="J693" s="7">
        <v>2</v>
      </c>
      <c r="K693" s="159">
        <f t="shared" si="11"/>
        <v>0.37356464144298934</v>
      </c>
    </row>
    <row r="694" spans="1:11">
      <c r="A694" s="7" t="s">
        <v>2042</v>
      </c>
      <c r="B694" s="7">
        <v>2013</v>
      </c>
      <c r="C694" s="7" t="s">
        <v>98</v>
      </c>
      <c r="D694" s="64">
        <v>211.1023622199954</v>
      </c>
      <c r="E694" s="7" t="s">
        <v>2041</v>
      </c>
      <c r="F694" s="7">
        <v>1</v>
      </c>
      <c r="G694" s="7">
        <v>1</v>
      </c>
      <c r="H694" s="7">
        <v>2</v>
      </c>
      <c r="I694" s="7">
        <v>2</v>
      </c>
      <c r="J694" s="7">
        <v>2</v>
      </c>
      <c r="K694" s="159">
        <f t="shared" si="11"/>
        <v>0.37356464144298934</v>
      </c>
    </row>
    <row r="695" spans="1:11">
      <c r="A695" s="7" t="s">
        <v>2042</v>
      </c>
      <c r="B695" s="7">
        <v>2013</v>
      </c>
      <c r="C695" s="7" t="s">
        <v>95</v>
      </c>
      <c r="D695" s="64">
        <v>260.35943181244977</v>
      </c>
      <c r="E695" s="7" t="s">
        <v>2041</v>
      </c>
      <c r="F695" s="7">
        <v>1</v>
      </c>
      <c r="G695" s="7">
        <v>1</v>
      </c>
      <c r="H695" s="7">
        <v>2</v>
      </c>
      <c r="I695" s="7">
        <v>2</v>
      </c>
      <c r="J695" s="7">
        <v>2</v>
      </c>
      <c r="K695" s="159">
        <f t="shared" si="11"/>
        <v>0.37356464144298934</v>
      </c>
    </row>
    <row r="696" spans="1:11">
      <c r="A696" s="7" t="s">
        <v>2042</v>
      </c>
      <c r="B696" s="7">
        <v>2013</v>
      </c>
      <c r="C696" s="7" t="s">
        <v>91</v>
      </c>
      <c r="D696" s="64">
        <v>1380.5275678019752</v>
      </c>
      <c r="E696" s="7" t="s">
        <v>2041</v>
      </c>
      <c r="F696" s="7">
        <v>1</v>
      </c>
      <c r="G696" s="7">
        <v>1</v>
      </c>
      <c r="H696" s="7">
        <v>2</v>
      </c>
      <c r="I696" s="7">
        <v>2</v>
      </c>
      <c r="J696" s="7">
        <v>2</v>
      </c>
      <c r="K696" s="159">
        <f t="shared" si="11"/>
        <v>0.37356464144298934</v>
      </c>
    </row>
    <row r="697" spans="1:11">
      <c r="A697" s="7" t="s">
        <v>2042</v>
      </c>
      <c r="B697" s="7">
        <v>2013</v>
      </c>
      <c r="C697" s="7" t="s">
        <v>93</v>
      </c>
      <c r="D697" s="64">
        <v>170.29061393868827</v>
      </c>
      <c r="E697" s="7" t="s">
        <v>2041</v>
      </c>
      <c r="F697" s="7">
        <v>1</v>
      </c>
      <c r="G697" s="7">
        <v>1</v>
      </c>
      <c r="H697" s="7">
        <v>2</v>
      </c>
      <c r="I697" s="7">
        <v>2</v>
      </c>
      <c r="J697" s="7">
        <v>2</v>
      </c>
      <c r="K697" s="159">
        <f t="shared" si="11"/>
        <v>0.37356464144298934</v>
      </c>
    </row>
    <row r="698" spans="1:11">
      <c r="A698" s="7" t="s">
        <v>2042</v>
      </c>
      <c r="B698" s="7">
        <v>2013</v>
      </c>
      <c r="C698" s="7" t="s">
        <v>90</v>
      </c>
      <c r="D698" s="64">
        <v>110.05963082562103</v>
      </c>
      <c r="E698" s="7" t="s">
        <v>2041</v>
      </c>
      <c r="F698" s="7">
        <v>1</v>
      </c>
      <c r="G698" s="7">
        <v>1</v>
      </c>
      <c r="H698" s="7">
        <v>2</v>
      </c>
      <c r="I698" s="7">
        <v>2</v>
      </c>
      <c r="J698" s="7">
        <v>2</v>
      </c>
      <c r="K698" s="159">
        <f t="shared" si="11"/>
        <v>0.37356464144298934</v>
      </c>
    </row>
    <row r="699" spans="1:11">
      <c r="A699" s="7" t="s">
        <v>2042</v>
      </c>
      <c r="B699" s="7">
        <v>2013</v>
      </c>
      <c r="C699" s="7" t="s">
        <v>92</v>
      </c>
      <c r="D699" s="64">
        <v>234.64634938210807</v>
      </c>
      <c r="E699" s="7" t="s">
        <v>2041</v>
      </c>
      <c r="F699" s="7">
        <v>1</v>
      </c>
      <c r="G699" s="7">
        <v>1</v>
      </c>
      <c r="H699" s="7">
        <v>2</v>
      </c>
      <c r="I699" s="7">
        <v>2</v>
      </c>
      <c r="J699" s="7">
        <v>2</v>
      </c>
      <c r="K699" s="159">
        <f t="shared" si="11"/>
        <v>0.37356464144298934</v>
      </c>
    </row>
    <row r="700" spans="1:11">
      <c r="A700" s="7" t="s">
        <v>2042</v>
      </c>
      <c r="B700" s="7">
        <v>2014</v>
      </c>
      <c r="C700" s="7" t="s">
        <v>99</v>
      </c>
      <c r="D700" s="64">
        <v>140.07845872232809</v>
      </c>
      <c r="E700" s="7" t="s">
        <v>2041</v>
      </c>
      <c r="F700" s="7">
        <v>1</v>
      </c>
      <c r="G700" s="7">
        <v>1</v>
      </c>
      <c r="H700" s="7">
        <v>2</v>
      </c>
      <c r="I700" s="7">
        <v>2</v>
      </c>
      <c r="J700" s="7">
        <v>2</v>
      </c>
      <c r="K700" s="159">
        <f t="shared" si="11"/>
        <v>0.37356464144298934</v>
      </c>
    </row>
    <row r="701" spans="1:11">
      <c r="A701" s="7" t="s">
        <v>2042</v>
      </c>
      <c r="B701" s="7">
        <v>2014</v>
      </c>
      <c r="C701" s="7" t="s">
        <v>98</v>
      </c>
      <c r="D701" s="64">
        <v>233.14282356994889</v>
      </c>
      <c r="E701" s="7" t="s">
        <v>2041</v>
      </c>
      <c r="F701" s="7">
        <v>1</v>
      </c>
      <c r="G701" s="7">
        <v>1</v>
      </c>
      <c r="H701" s="7">
        <v>2</v>
      </c>
      <c r="I701" s="7">
        <v>2</v>
      </c>
      <c r="J701" s="7">
        <v>2</v>
      </c>
      <c r="K701" s="159">
        <f t="shared" si="11"/>
        <v>0.37356464144298934</v>
      </c>
    </row>
    <row r="702" spans="1:11">
      <c r="A702" s="7" t="s">
        <v>2042</v>
      </c>
      <c r="B702" s="7">
        <v>2014</v>
      </c>
      <c r="C702" s="7" t="s">
        <v>95</v>
      </c>
      <c r="D702" s="64">
        <v>286.95973398011762</v>
      </c>
      <c r="E702" s="7" t="s">
        <v>2041</v>
      </c>
      <c r="F702" s="7">
        <v>1</v>
      </c>
      <c r="G702" s="7">
        <v>1</v>
      </c>
      <c r="H702" s="7">
        <v>2</v>
      </c>
      <c r="I702" s="7">
        <v>2</v>
      </c>
      <c r="J702" s="7">
        <v>2</v>
      </c>
      <c r="K702" s="159">
        <f t="shared" si="11"/>
        <v>0.37356464144298934</v>
      </c>
    </row>
    <row r="703" spans="1:11">
      <c r="A703" s="7" t="s">
        <v>2042</v>
      </c>
      <c r="B703" s="7">
        <v>2014</v>
      </c>
      <c r="C703" s="7" t="s">
        <v>91</v>
      </c>
      <c r="D703" s="64">
        <v>1512.8690771386498</v>
      </c>
      <c r="E703" s="7" t="s">
        <v>2041</v>
      </c>
      <c r="F703" s="7">
        <v>1</v>
      </c>
      <c r="G703" s="7">
        <v>1</v>
      </c>
      <c r="H703" s="7">
        <v>2</v>
      </c>
      <c r="I703" s="7">
        <v>2</v>
      </c>
      <c r="J703" s="7">
        <v>2</v>
      </c>
      <c r="K703" s="159">
        <f t="shared" si="11"/>
        <v>0.37356464144298934</v>
      </c>
    </row>
    <row r="704" spans="1:11">
      <c r="A704" s="7" t="s">
        <v>2042</v>
      </c>
      <c r="B704" s="7">
        <v>2014</v>
      </c>
      <c r="C704" s="7" t="s">
        <v>93</v>
      </c>
      <c r="D704" s="64">
        <v>185.23747312287455</v>
      </c>
      <c r="E704" s="7" t="s">
        <v>2041</v>
      </c>
      <c r="F704" s="7">
        <v>1</v>
      </c>
      <c r="G704" s="7">
        <v>1</v>
      </c>
      <c r="H704" s="7">
        <v>2</v>
      </c>
      <c r="I704" s="7">
        <v>2</v>
      </c>
      <c r="J704" s="7">
        <v>2</v>
      </c>
      <c r="K704" s="159">
        <f t="shared" si="11"/>
        <v>0.37356464144298934</v>
      </c>
    </row>
    <row r="705" spans="1:11">
      <c r="A705" s="7" t="s">
        <v>2042</v>
      </c>
      <c r="B705" s="7">
        <v>2014</v>
      </c>
      <c r="C705" s="7" t="s">
        <v>90</v>
      </c>
      <c r="D705" s="64">
        <v>119.76298826107833</v>
      </c>
      <c r="E705" s="7" t="s">
        <v>2041</v>
      </c>
      <c r="F705" s="7">
        <v>1</v>
      </c>
      <c r="G705" s="7">
        <v>1</v>
      </c>
      <c r="H705" s="7">
        <v>2</v>
      </c>
      <c r="I705" s="7">
        <v>2</v>
      </c>
      <c r="J705" s="7">
        <v>2</v>
      </c>
      <c r="K705" s="159">
        <f t="shared" si="11"/>
        <v>0.37356464144298934</v>
      </c>
    </row>
    <row r="706" spans="1:11">
      <c r="A706" s="7" t="s">
        <v>2042</v>
      </c>
      <c r="B706" s="7">
        <v>2014</v>
      </c>
      <c r="C706" s="7" t="s">
        <v>92</v>
      </c>
      <c r="D706" s="64">
        <v>254.51440946370624</v>
      </c>
      <c r="E706" s="7" t="s">
        <v>2041</v>
      </c>
      <c r="F706" s="7">
        <v>1</v>
      </c>
      <c r="G706" s="7">
        <v>1</v>
      </c>
      <c r="H706" s="7">
        <v>2</v>
      </c>
      <c r="I706" s="7">
        <v>2</v>
      </c>
      <c r="J706" s="7">
        <v>2</v>
      </c>
      <c r="K706" s="159">
        <f t="shared" si="11"/>
        <v>0.37356464144298934</v>
      </c>
    </row>
    <row r="707" spans="1:11">
      <c r="A707" s="7" t="s">
        <v>2042</v>
      </c>
      <c r="B707" s="7">
        <v>2015</v>
      </c>
      <c r="C707" s="7" t="s">
        <v>99</v>
      </c>
      <c r="D707" s="64">
        <v>130.8154991431883</v>
      </c>
      <c r="E707" s="7" t="s">
        <v>2041</v>
      </c>
      <c r="F707" s="7">
        <v>1</v>
      </c>
      <c r="G707" s="7">
        <v>1</v>
      </c>
      <c r="H707" s="7">
        <v>2</v>
      </c>
      <c r="I707" s="7">
        <v>2</v>
      </c>
      <c r="J707" s="7">
        <v>2</v>
      </c>
      <c r="K707" s="159">
        <f t="shared" si="11"/>
        <v>0.37356464144298934</v>
      </c>
    </row>
    <row r="708" spans="1:11">
      <c r="A708" s="7" t="s">
        <v>2042</v>
      </c>
      <c r="B708" s="7">
        <v>2015</v>
      </c>
      <c r="C708" s="7" t="s">
        <v>98</v>
      </c>
      <c r="D708" s="64">
        <v>210.95335681775504</v>
      </c>
      <c r="E708" s="7" t="s">
        <v>2041</v>
      </c>
      <c r="F708" s="7">
        <v>1</v>
      </c>
      <c r="G708" s="7">
        <v>1</v>
      </c>
      <c r="H708" s="7">
        <v>2</v>
      </c>
      <c r="I708" s="7">
        <v>2</v>
      </c>
      <c r="J708" s="7">
        <v>2</v>
      </c>
      <c r="K708" s="159">
        <f t="shared" si="11"/>
        <v>0.37356464144298934</v>
      </c>
    </row>
    <row r="709" spans="1:11">
      <c r="A709" s="7" t="s">
        <v>2042</v>
      </c>
      <c r="B709" s="7">
        <v>2015</v>
      </c>
      <c r="C709" s="7" t="s">
        <v>95</v>
      </c>
      <c r="D709" s="64">
        <v>270.46445420496957</v>
      </c>
      <c r="E709" s="7" t="s">
        <v>2041</v>
      </c>
      <c r="F709" s="7">
        <v>1</v>
      </c>
      <c r="G709" s="7">
        <v>1</v>
      </c>
      <c r="H709" s="7">
        <v>2</v>
      </c>
      <c r="I709" s="7">
        <v>2</v>
      </c>
      <c r="J709" s="7">
        <v>2</v>
      </c>
      <c r="K709" s="159">
        <f t="shared" si="11"/>
        <v>0.37356464144298934</v>
      </c>
    </row>
    <row r="710" spans="1:11">
      <c r="A710" s="7" t="s">
        <v>2042</v>
      </c>
      <c r="B710" s="7">
        <v>2015</v>
      </c>
      <c r="C710" s="7" t="s">
        <v>91</v>
      </c>
      <c r="D710" s="64">
        <v>1436.3490757844561</v>
      </c>
      <c r="E710" s="7" t="s">
        <v>2041</v>
      </c>
      <c r="F710" s="7">
        <v>1</v>
      </c>
      <c r="G710" s="7">
        <v>1</v>
      </c>
      <c r="H710" s="7">
        <v>2</v>
      </c>
      <c r="I710" s="7">
        <v>2</v>
      </c>
      <c r="J710" s="7">
        <v>2</v>
      </c>
      <c r="K710" s="159">
        <f t="shared" si="11"/>
        <v>0.37356464144298934</v>
      </c>
    </row>
    <row r="711" spans="1:11">
      <c r="A711" s="7" t="s">
        <v>2042</v>
      </c>
      <c r="B711" s="7">
        <v>2015</v>
      </c>
      <c r="C711" s="7" t="s">
        <v>93</v>
      </c>
      <c r="D711" s="64">
        <v>175.44824900972998</v>
      </c>
      <c r="E711" s="7" t="s">
        <v>2041</v>
      </c>
      <c r="F711" s="7">
        <v>1</v>
      </c>
      <c r="G711" s="7">
        <v>1</v>
      </c>
      <c r="H711" s="7">
        <v>2</v>
      </c>
      <c r="I711" s="7">
        <v>2</v>
      </c>
      <c r="J711" s="7">
        <v>2</v>
      </c>
      <c r="K711" s="159">
        <f t="shared" si="11"/>
        <v>0.37356464144298934</v>
      </c>
    </row>
    <row r="712" spans="1:11">
      <c r="A712" s="7" t="s">
        <v>2042</v>
      </c>
      <c r="B712" s="7">
        <v>2015</v>
      </c>
      <c r="C712" s="7" t="s">
        <v>90</v>
      </c>
      <c r="D712" s="64">
        <v>112.85240156478984</v>
      </c>
      <c r="E712" s="7" t="s">
        <v>2041</v>
      </c>
      <c r="F712" s="7">
        <v>1</v>
      </c>
      <c r="G712" s="7">
        <v>1</v>
      </c>
      <c r="H712" s="7">
        <v>2</v>
      </c>
      <c r="I712" s="7">
        <v>2</v>
      </c>
      <c r="J712" s="7">
        <v>2</v>
      </c>
      <c r="K712" s="159">
        <f t="shared" si="11"/>
        <v>0.37356464144298934</v>
      </c>
    </row>
    <row r="713" spans="1:11">
      <c r="A713" s="7" t="s">
        <v>2042</v>
      </c>
      <c r="B713" s="7">
        <v>2015</v>
      </c>
      <c r="C713" s="7" t="s">
        <v>92</v>
      </c>
      <c r="D713" s="64">
        <v>233.29695938731959</v>
      </c>
      <c r="E713" s="7" t="s">
        <v>2041</v>
      </c>
      <c r="F713" s="7">
        <v>1</v>
      </c>
      <c r="G713" s="7">
        <v>1</v>
      </c>
      <c r="H713" s="7">
        <v>2</v>
      </c>
      <c r="I713" s="7">
        <v>2</v>
      </c>
      <c r="J713" s="7">
        <v>2</v>
      </c>
      <c r="K713" s="159">
        <f t="shared" si="11"/>
        <v>0.37356464144298934</v>
      </c>
    </row>
    <row r="714" spans="1:11">
      <c r="A714" s="7" t="s">
        <v>2042</v>
      </c>
      <c r="B714" s="7">
        <v>2016</v>
      </c>
      <c r="C714" s="7" t="s">
        <v>99</v>
      </c>
      <c r="D714" s="64">
        <v>136.48838254169104</v>
      </c>
      <c r="E714" s="7" t="s">
        <v>2041</v>
      </c>
      <c r="F714" s="7">
        <v>1</v>
      </c>
      <c r="G714" s="7">
        <v>1</v>
      </c>
      <c r="H714" s="7">
        <v>2</v>
      </c>
      <c r="I714" s="7">
        <v>2</v>
      </c>
      <c r="J714" s="7">
        <v>2</v>
      </c>
      <c r="K714" s="159">
        <f t="shared" si="11"/>
        <v>0.37356464144298934</v>
      </c>
    </row>
    <row r="715" spans="1:11">
      <c r="A715" s="7" t="s">
        <v>2042</v>
      </c>
      <c r="B715" s="7">
        <v>2016</v>
      </c>
      <c r="C715" s="7" t="s">
        <v>98</v>
      </c>
      <c r="D715" s="64">
        <v>211.31731743695178</v>
      </c>
      <c r="E715" s="7" t="s">
        <v>2041</v>
      </c>
      <c r="F715" s="7">
        <v>1</v>
      </c>
      <c r="G715" s="7">
        <v>1</v>
      </c>
      <c r="H715" s="7">
        <v>2</v>
      </c>
      <c r="I715" s="7">
        <v>2</v>
      </c>
      <c r="J715" s="7">
        <v>2</v>
      </c>
      <c r="K715" s="159">
        <f t="shared" si="11"/>
        <v>0.37356464144298934</v>
      </c>
    </row>
    <row r="716" spans="1:11">
      <c r="A716" s="7" t="s">
        <v>2042</v>
      </c>
      <c r="B716" s="7">
        <v>2016</v>
      </c>
      <c r="C716" s="7" t="s">
        <v>95</v>
      </c>
      <c r="D716" s="64">
        <v>281.63077356766087</v>
      </c>
      <c r="E716" s="7" t="s">
        <v>2041</v>
      </c>
      <c r="F716" s="7">
        <v>1</v>
      </c>
      <c r="G716" s="7">
        <v>1</v>
      </c>
      <c r="H716" s="7">
        <v>2</v>
      </c>
      <c r="I716" s="7">
        <v>2</v>
      </c>
      <c r="J716" s="7">
        <v>2</v>
      </c>
      <c r="K716" s="159">
        <f t="shared" si="11"/>
        <v>0.37356464144298934</v>
      </c>
    </row>
    <row r="717" spans="1:11">
      <c r="A717" s="7" t="s">
        <v>2042</v>
      </c>
      <c r="B717" s="7">
        <v>2016</v>
      </c>
      <c r="C717" s="7" t="s">
        <v>91</v>
      </c>
      <c r="D717" s="64">
        <v>1485.9555749664446</v>
      </c>
      <c r="E717" s="7" t="s">
        <v>2041</v>
      </c>
      <c r="F717" s="7">
        <v>1</v>
      </c>
      <c r="G717" s="7">
        <v>1</v>
      </c>
      <c r="H717" s="7">
        <v>2</v>
      </c>
      <c r="I717" s="7">
        <v>2</v>
      </c>
      <c r="J717" s="7">
        <v>2</v>
      </c>
      <c r="K717" s="159">
        <f t="shared" si="11"/>
        <v>0.37356464144298934</v>
      </c>
    </row>
    <row r="718" spans="1:11">
      <c r="A718" s="7" t="s">
        <v>2042</v>
      </c>
      <c r="B718" s="7">
        <v>2016</v>
      </c>
      <c r="C718" s="7" t="s">
        <v>93</v>
      </c>
      <c r="D718" s="64">
        <v>172.92751832210172</v>
      </c>
      <c r="E718" s="7" t="s">
        <v>2041</v>
      </c>
      <c r="F718" s="7">
        <v>1</v>
      </c>
      <c r="G718" s="7">
        <v>1</v>
      </c>
      <c r="H718" s="7">
        <v>2</v>
      </c>
      <c r="I718" s="7">
        <v>2</v>
      </c>
      <c r="J718" s="7">
        <v>2</v>
      </c>
      <c r="K718" s="159">
        <f t="shared" si="11"/>
        <v>0.37356464144298934</v>
      </c>
    </row>
    <row r="719" spans="1:11">
      <c r="A719" s="7" t="s">
        <v>2042</v>
      </c>
      <c r="B719" s="7">
        <v>2016</v>
      </c>
      <c r="C719" s="7" t="s">
        <v>90</v>
      </c>
      <c r="D719" s="64">
        <v>111.17178744870334</v>
      </c>
      <c r="E719" s="7" t="s">
        <v>2041</v>
      </c>
      <c r="F719" s="7">
        <v>1</v>
      </c>
      <c r="G719" s="7">
        <v>1</v>
      </c>
      <c r="H719" s="7">
        <v>2</v>
      </c>
      <c r="I719" s="7">
        <v>2</v>
      </c>
      <c r="J719" s="7">
        <v>2</v>
      </c>
      <c r="K719" s="159">
        <f t="shared" si="11"/>
        <v>0.37356464144298934</v>
      </c>
    </row>
    <row r="720" spans="1:11">
      <c r="A720" s="7" t="s">
        <v>2042</v>
      </c>
      <c r="B720" s="7">
        <v>2016</v>
      </c>
      <c r="C720" s="7" t="s">
        <v>92</v>
      </c>
      <c r="D720" s="64">
        <v>229.15074292623382</v>
      </c>
      <c r="E720" s="7" t="s">
        <v>2041</v>
      </c>
      <c r="F720" s="7">
        <v>1</v>
      </c>
      <c r="G720" s="7">
        <v>1</v>
      </c>
      <c r="H720" s="7">
        <v>2</v>
      </c>
      <c r="I720" s="7">
        <v>2</v>
      </c>
      <c r="J720" s="7">
        <v>2</v>
      </c>
      <c r="K720" s="159">
        <f t="shared" si="11"/>
        <v>0.37356464144298934</v>
      </c>
    </row>
    <row r="721" spans="1:11">
      <c r="A721" s="7" t="s">
        <v>2042</v>
      </c>
      <c r="B721" s="7">
        <v>2017</v>
      </c>
      <c r="C721" s="7" t="s">
        <v>99</v>
      </c>
      <c r="D721" s="64">
        <v>143.26454889506914</v>
      </c>
      <c r="E721" s="7" t="s">
        <v>2041</v>
      </c>
      <c r="F721" s="7">
        <v>1</v>
      </c>
      <c r="G721" s="7">
        <v>1</v>
      </c>
      <c r="H721" s="7">
        <v>2</v>
      </c>
      <c r="I721" s="7">
        <v>2</v>
      </c>
      <c r="J721" s="7">
        <v>2</v>
      </c>
      <c r="K721" s="159">
        <f t="shared" si="11"/>
        <v>0.37356464144298934</v>
      </c>
    </row>
    <row r="722" spans="1:11">
      <c r="A722" s="7" t="s">
        <v>2042</v>
      </c>
      <c r="B722" s="7">
        <v>2017</v>
      </c>
      <c r="C722" s="7" t="s">
        <v>98</v>
      </c>
      <c r="D722" s="64">
        <v>221.91193018299847</v>
      </c>
      <c r="E722" s="7" t="s">
        <v>2041</v>
      </c>
      <c r="F722" s="7">
        <v>1</v>
      </c>
      <c r="G722" s="7">
        <v>1</v>
      </c>
      <c r="H722" s="7">
        <v>2</v>
      </c>
      <c r="I722" s="7">
        <v>2</v>
      </c>
      <c r="J722" s="7">
        <v>2</v>
      </c>
      <c r="K722" s="159">
        <f t="shared" si="11"/>
        <v>0.37356464144298934</v>
      </c>
    </row>
    <row r="723" spans="1:11">
      <c r="A723" s="7" t="s">
        <v>2042</v>
      </c>
      <c r="B723" s="7">
        <v>2017</v>
      </c>
      <c r="C723" s="7" t="s">
        <v>95</v>
      </c>
      <c r="D723" s="64">
        <v>295.39361671438235</v>
      </c>
      <c r="E723" s="7" t="s">
        <v>2041</v>
      </c>
      <c r="F723" s="7">
        <v>1</v>
      </c>
      <c r="G723" s="7">
        <v>1</v>
      </c>
      <c r="H723" s="7">
        <v>2</v>
      </c>
      <c r="I723" s="7">
        <v>2</v>
      </c>
      <c r="J723" s="7">
        <v>2</v>
      </c>
      <c r="K723" s="159">
        <f t="shared" ref="K723:K762" si="12">IF( OR( ISBLANK(F723),ISBLANK(G723), ISBLANK(H723), ISBLANK(I723), ISBLANK(J723) ), "", 1.5*SQRT(   EXP(2.21*(F723-1)) + EXP(2.21*(G723-1)) + EXP(2.21*(H723-1)) + EXP(2.21*(I723-1)) + EXP(2.21*J723)   )/100*2.45 )</f>
        <v>0.37356464144298934</v>
      </c>
    </row>
    <row r="724" spans="1:11">
      <c r="A724" s="7" t="s">
        <v>2042</v>
      </c>
      <c r="B724" s="7">
        <v>2017</v>
      </c>
      <c r="C724" s="7" t="s">
        <v>91</v>
      </c>
      <c r="D724" s="64">
        <v>1540.4622868372717</v>
      </c>
      <c r="E724" s="7" t="s">
        <v>2041</v>
      </c>
      <c r="F724" s="7">
        <v>1</v>
      </c>
      <c r="G724" s="7">
        <v>1</v>
      </c>
      <c r="H724" s="7">
        <v>2</v>
      </c>
      <c r="I724" s="7">
        <v>2</v>
      </c>
      <c r="J724" s="7">
        <v>2</v>
      </c>
      <c r="K724" s="159">
        <f t="shared" si="12"/>
        <v>0.37356464144298934</v>
      </c>
    </row>
    <row r="725" spans="1:11">
      <c r="A725" s="7" t="s">
        <v>2042</v>
      </c>
      <c r="B725" s="7">
        <v>2017</v>
      </c>
      <c r="C725" s="7" t="s">
        <v>93</v>
      </c>
      <c r="D725" s="64">
        <v>180.25697993865322</v>
      </c>
      <c r="E725" s="7" t="s">
        <v>2041</v>
      </c>
      <c r="F725" s="7">
        <v>1</v>
      </c>
      <c r="G725" s="7">
        <v>1</v>
      </c>
      <c r="H725" s="7">
        <v>2</v>
      </c>
      <c r="I725" s="7">
        <v>2</v>
      </c>
      <c r="J725" s="7">
        <v>2</v>
      </c>
      <c r="K725" s="159">
        <f t="shared" si="12"/>
        <v>0.37356464144298934</v>
      </c>
    </row>
    <row r="726" spans="1:11">
      <c r="A726" s="7" t="s">
        <v>2042</v>
      </c>
      <c r="B726" s="7">
        <v>2017</v>
      </c>
      <c r="C726" s="7" t="s">
        <v>90</v>
      </c>
      <c r="D726" s="64">
        <v>115.98941198321505</v>
      </c>
      <c r="E726" s="7" t="s">
        <v>2041</v>
      </c>
      <c r="F726" s="7">
        <v>1</v>
      </c>
      <c r="G726" s="7">
        <v>1</v>
      </c>
      <c r="H726" s="7">
        <v>2</v>
      </c>
      <c r="I726" s="7">
        <v>2</v>
      </c>
      <c r="J726" s="7">
        <v>2</v>
      </c>
      <c r="K726" s="159">
        <f t="shared" si="12"/>
        <v>0.37356464144298934</v>
      </c>
    </row>
    <row r="727" spans="1:11">
      <c r="A727" s="7" t="s">
        <v>2042</v>
      </c>
      <c r="B727" s="7">
        <v>2017</v>
      </c>
      <c r="C727" s="7" t="s">
        <v>92</v>
      </c>
      <c r="D727" s="64">
        <v>240.40075376841347</v>
      </c>
      <c r="E727" s="7" t="s">
        <v>2041</v>
      </c>
      <c r="F727" s="7">
        <v>1</v>
      </c>
      <c r="G727" s="7">
        <v>1</v>
      </c>
      <c r="H727" s="7">
        <v>2</v>
      </c>
      <c r="I727" s="7">
        <v>2</v>
      </c>
      <c r="J727" s="7">
        <v>2</v>
      </c>
      <c r="K727" s="159">
        <f t="shared" si="12"/>
        <v>0.37356464144298934</v>
      </c>
    </row>
    <row r="728" spans="1:11">
      <c r="A728" s="7" t="s">
        <v>2042</v>
      </c>
      <c r="B728" s="7">
        <v>2018</v>
      </c>
      <c r="C728" s="7" t="s">
        <v>99</v>
      </c>
      <c r="D728" s="64">
        <v>157.9091589614055</v>
      </c>
      <c r="E728" s="7" t="s">
        <v>2041</v>
      </c>
      <c r="F728" s="7">
        <v>1</v>
      </c>
      <c r="G728" s="7">
        <v>1</v>
      </c>
      <c r="H728" s="7">
        <v>2</v>
      </c>
      <c r="I728" s="7">
        <v>2</v>
      </c>
      <c r="J728" s="7">
        <v>2</v>
      </c>
      <c r="K728" s="159">
        <f t="shared" si="12"/>
        <v>0.37356464144298934</v>
      </c>
    </row>
    <row r="729" spans="1:11">
      <c r="A729" s="7" t="s">
        <v>2042</v>
      </c>
      <c r="B729" s="7">
        <v>2018</v>
      </c>
      <c r="C729" s="7" t="s">
        <v>98</v>
      </c>
      <c r="D729" s="64">
        <v>254.72408355691644</v>
      </c>
      <c r="E729" s="7" t="s">
        <v>2041</v>
      </c>
      <c r="F729" s="7">
        <v>1</v>
      </c>
      <c r="G729" s="7">
        <v>1</v>
      </c>
      <c r="H729" s="7">
        <v>2</v>
      </c>
      <c r="I729" s="7">
        <v>2</v>
      </c>
      <c r="J729" s="7">
        <v>2</v>
      </c>
      <c r="K729" s="159">
        <f t="shared" si="12"/>
        <v>0.37356464144298934</v>
      </c>
    </row>
    <row r="730" spans="1:11">
      <c r="A730" s="7" t="s">
        <v>2042</v>
      </c>
      <c r="B730" s="7">
        <v>2018</v>
      </c>
      <c r="C730" s="7" t="s">
        <v>95</v>
      </c>
      <c r="D730" s="64">
        <v>332.94626041172813</v>
      </c>
      <c r="E730" s="7" t="s">
        <v>2041</v>
      </c>
      <c r="F730" s="7">
        <v>1</v>
      </c>
      <c r="G730" s="7">
        <v>1</v>
      </c>
      <c r="H730" s="7">
        <v>2</v>
      </c>
      <c r="I730" s="7">
        <v>2</v>
      </c>
      <c r="J730" s="7">
        <v>2</v>
      </c>
      <c r="K730" s="159">
        <f t="shared" si="12"/>
        <v>0.37356464144298934</v>
      </c>
    </row>
    <row r="731" spans="1:11">
      <c r="A731" s="7" t="s">
        <v>2042</v>
      </c>
      <c r="B731" s="7">
        <v>2018</v>
      </c>
      <c r="C731" s="7" t="s">
        <v>91</v>
      </c>
      <c r="D731" s="64">
        <v>1707.0068619747433</v>
      </c>
      <c r="E731" s="7" t="s">
        <v>2041</v>
      </c>
      <c r="F731" s="7">
        <v>1</v>
      </c>
      <c r="G731" s="7">
        <v>1</v>
      </c>
      <c r="H731" s="7">
        <v>2</v>
      </c>
      <c r="I731" s="7">
        <v>2</v>
      </c>
      <c r="J731" s="7">
        <v>2</v>
      </c>
      <c r="K731" s="159">
        <f t="shared" si="12"/>
        <v>0.37356464144298934</v>
      </c>
    </row>
    <row r="732" spans="1:11">
      <c r="A732" s="7" t="s">
        <v>2042</v>
      </c>
      <c r="B732" s="7">
        <v>2018</v>
      </c>
      <c r="C732" s="7" t="s">
        <v>93</v>
      </c>
      <c r="D732" s="64">
        <v>190.7058520047415</v>
      </c>
      <c r="E732" s="7" t="s">
        <v>2041</v>
      </c>
      <c r="F732" s="7">
        <v>1</v>
      </c>
      <c r="G732" s="7">
        <v>1</v>
      </c>
      <c r="H732" s="7">
        <v>2</v>
      </c>
      <c r="I732" s="7">
        <v>2</v>
      </c>
      <c r="J732" s="7">
        <v>2</v>
      </c>
      <c r="K732" s="159">
        <f t="shared" si="12"/>
        <v>0.37356464144298934</v>
      </c>
    </row>
    <row r="733" spans="1:11">
      <c r="A733" s="7" t="s">
        <v>2042</v>
      </c>
      <c r="B733" s="7">
        <v>2018</v>
      </c>
      <c r="C733" s="7" t="s">
        <v>90</v>
      </c>
      <c r="D733" s="64">
        <v>123.49047081194261</v>
      </c>
      <c r="E733" s="7" t="s">
        <v>2041</v>
      </c>
      <c r="F733" s="7">
        <v>1</v>
      </c>
      <c r="G733" s="7">
        <v>1</v>
      </c>
      <c r="H733" s="7">
        <v>2</v>
      </c>
      <c r="I733" s="7">
        <v>2</v>
      </c>
      <c r="J733" s="7">
        <v>2</v>
      </c>
      <c r="K733" s="159">
        <f t="shared" si="12"/>
        <v>0.37356464144298934</v>
      </c>
    </row>
    <row r="734" spans="1:11">
      <c r="A734" s="7" t="s">
        <v>2042</v>
      </c>
      <c r="B734" s="7">
        <v>2018</v>
      </c>
      <c r="C734" s="7" t="s">
        <v>92</v>
      </c>
      <c r="D734" s="64">
        <v>264.68676437525971</v>
      </c>
      <c r="E734" s="7" t="s">
        <v>2041</v>
      </c>
      <c r="F734" s="7">
        <v>1</v>
      </c>
      <c r="G734" s="7">
        <v>1</v>
      </c>
      <c r="H734" s="7">
        <v>2</v>
      </c>
      <c r="I734" s="7">
        <v>2</v>
      </c>
      <c r="J734" s="7">
        <v>2</v>
      </c>
      <c r="K734" s="159">
        <f t="shared" si="12"/>
        <v>0.37356464144298934</v>
      </c>
    </row>
    <row r="735" spans="1:11">
      <c r="A735" s="7" t="s">
        <v>2042</v>
      </c>
      <c r="B735" s="7">
        <v>2019</v>
      </c>
      <c r="C735" s="7" t="s">
        <v>99</v>
      </c>
      <c r="D735" s="64">
        <v>152.47813929518637</v>
      </c>
      <c r="E735" s="7" t="s">
        <v>2041</v>
      </c>
      <c r="F735" s="7">
        <v>1</v>
      </c>
      <c r="G735" s="7">
        <v>1</v>
      </c>
      <c r="H735" s="7">
        <v>2</v>
      </c>
      <c r="I735" s="7">
        <v>2</v>
      </c>
      <c r="J735" s="7">
        <v>2</v>
      </c>
      <c r="K735" s="159">
        <f t="shared" si="12"/>
        <v>0.37356464144298934</v>
      </c>
    </row>
    <row r="736" spans="1:11">
      <c r="A736" s="7" t="s">
        <v>2042</v>
      </c>
      <c r="B736" s="7">
        <v>2019</v>
      </c>
      <c r="C736" s="7" t="s">
        <v>98</v>
      </c>
      <c r="D736" s="64">
        <v>250.17723257783453</v>
      </c>
      <c r="E736" s="7" t="s">
        <v>2041</v>
      </c>
      <c r="F736" s="7">
        <v>1</v>
      </c>
      <c r="G736" s="7">
        <v>1</v>
      </c>
      <c r="H736" s="7">
        <v>2</v>
      </c>
      <c r="I736" s="7">
        <v>2</v>
      </c>
      <c r="J736" s="7">
        <v>2</v>
      </c>
      <c r="K736" s="159">
        <f t="shared" si="12"/>
        <v>0.37356464144298934</v>
      </c>
    </row>
    <row r="737" spans="1:11">
      <c r="A737" s="7" t="s">
        <v>2042</v>
      </c>
      <c r="B737" s="7">
        <v>2019</v>
      </c>
      <c r="C737" s="7" t="s">
        <v>95</v>
      </c>
      <c r="D737" s="64">
        <v>323.43037043743959</v>
      </c>
      <c r="E737" s="7" t="s">
        <v>2041</v>
      </c>
      <c r="F737" s="7">
        <v>1</v>
      </c>
      <c r="G737" s="7">
        <v>1</v>
      </c>
      <c r="H737" s="7">
        <v>2</v>
      </c>
      <c r="I737" s="7">
        <v>2</v>
      </c>
      <c r="J737" s="7">
        <v>2</v>
      </c>
      <c r="K737" s="159">
        <f t="shared" si="12"/>
        <v>0.37356464144298934</v>
      </c>
    </row>
    <row r="738" spans="1:11">
      <c r="A738" s="7" t="s">
        <v>2042</v>
      </c>
      <c r="B738" s="7">
        <v>2019</v>
      </c>
      <c r="C738" s="7" t="s">
        <v>91</v>
      </c>
      <c r="D738" s="64">
        <v>1660.5411067928908</v>
      </c>
      <c r="E738" s="7" t="s">
        <v>2041</v>
      </c>
      <c r="F738" s="7">
        <v>1</v>
      </c>
      <c r="G738" s="7">
        <v>1</v>
      </c>
      <c r="H738" s="7">
        <v>2</v>
      </c>
      <c r="I738" s="7">
        <v>2</v>
      </c>
      <c r="J738" s="7">
        <v>2</v>
      </c>
      <c r="K738" s="159">
        <f t="shared" si="12"/>
        <v>0.37356464144298934</v>
      </c>
    </row>
    <row r="739" spans="1:11">
      <c r="A739" s="7" t="s">
        <v>2042</v>
      </c>
      <c r="B739" s="7">
        <v>2019</v>
      </c>
      <c r="C739" s="7" t="s">
        <v>93</v>
      </c>
      <c r="D739" s="64">
        <v>188.25081711590735</v>
      </c>
      <c r="E739" s="7" t="s">
        <v>2041</v>
      </c>
      <c r="F739" s="7">
        <v>1</v>
      </c>
      <c r="G739" s="7">
        <v>1</v>
      </c>
      <c r="H739" s="7">
        <v>2</v>
      </c>
      <c r="I739" s="7">
        <v>2</v>
      </c>
      <c r="J739" s="7">
        <v>2</v>
      </c>
      <c r="K739" s="159">
        <f t="shared" si="12"/>
        <v>0.37356464144298934</v>
      </c>
    </row>
    <row r="740" spans="1:11">
      <c r="A740" s="7" t="s">
        <v>2042</v>
      </c>
      <c r="B740" s="7">
        <v>2019</v>
      </c>
      <c r="C740" s="7" t="s">
        <v>90</v>
      </c>
      <c r="D740" s="64">
        <v>121.70837655995497</v>
      </c>
      <c r="E740" s="7" t="s">
        <v>2041</v>
      </c>
      <c r="F740" s="7">
        <v>1</v>
      </c>
      <c r="G740" s="7">
        <v>1</v>
      </c>
      <c r="H740" s="7">
        <v>2</v>
      </c>
      <c r="I740" s="7">
        <v>2</v>
      </c>
      <c r="J740" s="7">
        <v>2</v>
      </c>
      <c r="K740" s="159">
        <f t="shared" si="12"/>
        <v>0.37356464144298934</v>
      </c>
    </row>
    <row r="741" spans="1:11">
      <c r="A741" s="7" t="s">
        <v>2042</v>
      </c>
      <c r="B741" s="7">
        <v>2019</v>
      </c>
      <c r="C741" s="7" t="s">
        <v>92</v>
      </c>
      <c r="D741" s="64">
        <v>257.62233376052342</v>
      </c>
      <c r="E741" s="7" t="s">
        <v>2041</v>
      </c>
      <c r="F741" s="7">
        <v>1</v>
      </c>
      <c r="G741" s="7">
        <v>1</v>
      </c>
      <c r="H741" s="7">
        <v>2</v>
      </c>
      <c r="I741" s="7">
        <v>2</v>
      </c>
      <c r="J741" s="7">
        <v>2</v>
      </c>
      <c r="K741" s="159">
        <f t="shared" si="12"/>
        <v>0.37356464144298934</v>
      </c>
    </row>
    <row r="742" spans="1:11">
      <c r="A742" s="7" t="s">
        <v>2042</v>
      </c>
      <c r="B742" s="7">
        <v>2020</v>
      </c>
      <c r="C742" s="7" t="s">
        <v>99</v>
      </c>
      <c r="D742" s="64">
        <v>125.12661920242472</v>
      </c>
      <c r="E742" s="7" t="s">
        <v>2041</v>
      </c>
      <c r="F742" s="7">
        <v>1</v>
      </c>
      <c r="G742" s="7">
        <v>1</v>
      </c>
      <c r="H742" s="7">
        <v>2</v>
      </c>
      <c r="I742" s="7">
        <v>2</v>
      </c>
      <c r="J742" s="7">
        <v>2</v>
      </c>
      <c r="K742" s="159">
        <f t="shared" si="12"/>
        <v>0.37356464144298934</v>
      </c>
    </row>
    <row r="743" spans="1:11">
      <c r="A743" s="7" t="s">
        <v>2042</v>
      </c>
      <c r="B743" s="7">
        <v>2020</v>
      </c>
      <c r="C743" s="7" t="s">
        <v>98</v>
      </c>
      <c r="D743" s="64">
        <v>197.18480060370047</v>
      </c>
      <c r="E743" s="7" t="s">
        <v>2041</v>
      </c>
      <c r="F743" s="7">
        <v>1</v>
      </c>
      <c r="G743" s="7">
        <v>1</v>
      </c>
      <c r="H743" s="7">
        <v>2</v>
      </c>
      <c r="I743" s="7">
        <v>2</v>
      </c>
      <c r="J743" s="7">
        <v>2</v>
      </c>
      <c r="K743" s="159">
        <f t="shared" si="12"/>
        <v>0.37356464144298934</v>
      </c>
    </row>
    <row r="744" spans="1:11">
      <c r="A744" s="7" t="s">
        <v>2042</v>
      </c>
      <c r="B744" s="7">
        <v>2020</v>
      </c>
      <c r="C744" s="7" t="s">
        <v>95</v>
      </c>
      <c r="D744" s="64">
        <v>261.11375470142298</v>
      </c>
      <c r="E744" s="7" t="s">
        <v>2041</v>
      </c>
      <c r="F744" s="7">
        <v>1</v>
      </c>
      <c r="G744" s="7">
        <v>1</v>
      </c>
      <c r="H744" s="7">
        <v>2</v>
      </c>
      <c r="I744" s="7">
        <v>2</v>
      </c>
      <c r="J744" s="7">
        <v>2</v>
      </c>
      <c r="K744" s="159">
        <f t="shared" si="12"/>
        <v>0.37356464144298934</v>
      </c>
    </row>
    <row r="745" spans="1:11">
      <c r="A745" s="7" t="s">
        <v>2042</v>
      </c>
      <c r="B745" s="7">
        <v>2020</v>
      </c>
      <c r="C745" s="7" t="s">
        <v>91</v>
      </c>
      <c r="D745" s="64">
        <v>1314.526462598317</v>
      </c>
      <c r="E745" s="7" t="s">
        <v>2041</v>
      </c>
      <c r="F745" s="7">
        <v>1</v>
      </c>
      <c r="G745" s="7">
        <v>1</v>
      </c>
      <c r="H745" s="7">
        <v>2</v>
      </c>
      <c r="I745" s="7">
        <v>2</v>
      </c>
      <c r="J745" s="7">
        <v>2</v>
      </c>
      <c r="K745" s="159">
        <f t="shared" si="12"/>
        <v>0.37356464144298934</v>
      </c>
    </row>
    <row r="746" spans="1:11">
      <c r="A746" s="7" t="s">
        <v>2042</v>
      </c>
      <c r="B746" s="7">
        <v>2020</v>
      </c>
      <c r="C746" s="7" t="s">
        <v>93</v>
      </c>
      <c r="D746" s="64">
        <v>150.70408436040759</v>
      </c>
      <c r="E746" s="7" t="s">
        <v>2041</v>
      </c>
      <c r="F746" s="7">
        <v>1</v>
      </c>
      <c r="G746" s="7">
        <v>1</v>
      </c>
      <c r="H746" s="7">
        <v>2</v>
      </c>
      <c r="I746" s="7">
        <v>2</v>
      </c>
      <c r="J746" s="7">
        <v>2</v>
      </c>
      <c r="K746" s="159">
        <f t="shared" si="12"/>
        <v>0.37356464144298934</v>
      </c>
    </row>
    <row r="747" spans="1:11">
      <c r="A747" s="7" t="s">
        <v>2042</v>
      </c>
      <c r="B747" s="7">
        <v>2020</v>
      </c>
      <c r="C747" s="7" t="s">
        <v>90</v>
      </c>
      <c r="D747" s="64">
        <v>97.053593532244761</v>
      </c>
      <c r="E747" s="7" t="s">
        <v>2041</v>
      </c>
      <c r="F747" s="7">
        <v>1</v>
      </c>
      <c r="G747" s="7">
        <v>1</v>
      </c>
      <c r="H747" s="7">
        <v>2</v>
      </c>
      <c r="I747" s="7">
        <v>2</v>
      </c>
      <c r="J747" s="7">
        <v>2</v>
      </c>
      <c r="K747" s="159">
        <f t="shared" si="12"/>
        <v>0.37356464144298934</v>
      </c>
    </row>
    <row r="748" spans="1:11">
      <c r="A748" s="7" t="s">
        <v>2042</v>
      </c>
      <c r="B748" s="7">
        <v>2020</v>
      </c>
      <c r="C748" s="7" t="s">
        <v>92</v>
      </c>
      <c r="D748" s="64">
        <v>200.41090311684309</v>
      </c>
      <c r="E748" s="7" t="s">
        <v>2041</v>
      </c>
      <c r="F748" s="7">
        <v>1</v>
      </c>
      <c r="G748" s="7">
        <v>1</v>
      </c>
      <c r="H748" s="7">
        <v>2</v>
      </c>
      <c r="I748" s="7">
        <v>2</v>
      </c>
      <c r="J748" s="7">
        <v>2</v>
      </c>
      <c r="K748" s="159">
        <f t="shared" si="12"/>
        <v>0.37356464144298934</v>
      </c>
    </row>
    <row r="749" spans="1:11">
      <c r="A749" s="7" t="s">
        <v>2042</v>
      </c>
      <c r="B749" s="7">
        <v>2021</v>
      </c>
      <c r="C749" s="7" t="s">
        <v>99</v>
      </c>
      <c r="D749" s="64">
        <v>138.50847940996036</v>
      </c>
      <c r="E749" s="7" t="s">
        <v>2041</v>
      </c>
      <c r="F749" s="7">
        <v>1</v>
      </c>
      <c r="G749" s="7">
        <v>1</v>
      </c>
      <c r="H749" s="7">
        <v>2</v>
      </c>
      <c r="I749" s="7">
        <v>2</v>
      </c>
      <c r="J749" s="7">
        <v>2</v>
      </c>
      <c r="K749" s="159">
        <f t="shared" si="12"/>
        <v>0.37356464144298934</v>
      </c>
    </row>
    <row r="750" spans="1:11">
      <c r="A750" s="7" t="s">
        <v>2042</v>
      </c>
      <c r="B750" s="7">
        <v>2021</v>
      </c>
      <c r="C750" s="7" t="s">
        <v>98</v>
      </c>
      <c r="D750" s="64">
        <v>207.542011807975</v>
      </c>
      <c r="E750" s="7" t="s">
        <v>2041</v>
      </c>
      <c r="F750" s="7">
        <v>1</v>
      </c>
      <c r="G750" s="7">
        <v>1</v>
      </c>
      <c r="H750" s="7">
        <v>2</v>
      </c>
      <c r="I750" s="7">
        <v>2</v>
      </c>
      <c r="J750" s="7">
        <v>2</v>
      </c>
      <c r="K750" s="159">
        <f t="shared" si="12"/>
        <v>0.37356464144298934</v>
      </c>
    </row>
    <row r="751" spans="1:11">
      <c r="A751" s="7" t="s">
        <v>2042</v>
      </c>
      <c r="B751" s="7">
        <v>2021</v>
      </c>
      <c r="C751" s="7" t="s">
        <v>95</v>
      </c>
      <c r="D751" s="64">
        <v>287.72173084220043</v>
      </c>
      <c r="E751" s="7" t="s">
        <v>2041</v>
      </c>
      <c r="F751" s="7">
        <v>1</v>
      </c>
      <c r="G751" s="7">
        <v>1</v>
      </c>
      <c r="H751" s="7">
        <v>2</v>
      </c>
      <c r="I751" s="7">
        <v>2</v>
      </c>
      <c r="J751" s="7">
        <v>2</v>
      </c>
      <c r="K751" s="159">
        <f t="shared" si="12"/>
        <v>0.37356464144298934</v>
      </c>
    </row>
    <row r="752" spans="1:11">
      <c r="A752" s="7" t="s">
        <v>2042</v>
      </c>
      <c r="B752" s="7">
        <v>2021</v>
      </c>
      <c r="C752" s="7" t="s">
        <v>91</v>
      </c>
      <c r="D752" s="64">
        <v>1424.0070804502827</v>
      </c>
      <c r="E752" s="7" t="s">
        <v>2041</v>
      </c>
      <c r="F752" s="7">
        <v>1</v>
      </c>
      <c r="G752" s="7">
        <v>1</v>
      </c>
      <c r="H752" s="7">
        <v>2</v>
      </c>
      <c r="I752" s="7">
        <v>2</v>
      </c>
      <c r="J752" s="7">
        <v>2</v>
      </c>
      <c r="K752" s="159">
        <f t="shared" si="12"/>
        <v>0.37356464144298934</v>
      </c>
    </row>
    <row r="753" spans="1:11">
      <c r="A753" s="7" t="s">
        <v>2042</v>
      </c>
      <c r="B753" s="7">
        <v>2021</v>
      </c>
      <c r="C753" s="7" t="s">
        <v>93</v>
      </c>
      <c r="D753" s="64">
        <v>148.48800484640728</v>
      </c>
      <c r="E753" s="7" t="s">
        <v>2041</v>
      </c>
      <c r="F753" s="7">
        <v>1</v>
      </c>
      <c r="G753" s="7">
        <v>1</v>
      </c>
      <c r="H753" s="7">
        <v>2</v>
      </c>
      <c r="I753" s="7">
        <v>2</v>
      </c>
      <c r="J753" s="7">
        <v>2</v>
      </c>
      <c r="K753" s="159">
        <f t="shared" si="12"/>
        <v>0.37356464144298934</v>
      </c>
    </row>
    <row r="754" spans="1:11">
      <c r="A754" s="7" t="s">
        <v>2042</v>
      </c>
      <c r="B754" s="7">
        <v>2021</v>
      </c>
      <c r="C754" s="7" t="s">
        <v>90</v>
      </c>
      <c r="D754" s="64">
        <v>95.81627352874581</v>
      </c>
      <c r="E754" s="7" t="s">
        <v>2041</v>
      </c>
      <c r="F754" s="7">
        <v>1</v>
      </c>
      <c r="G754" s="7">
        <v>1</v>
      </c>
      <c r="H754" s="7">
        <v>2</v>
      </c>
      <c r="I754" s="7">
        <v>2</v>
      </c>
      <c r="J754" s="7">
        <v>2</v>
      </c>
      <c r="K754" s="159">
        <f t="shared" si="12"/>
        <v>0.37356464144298934</v>
      </c>
    </row>
    <row r="755" spans="1:11">
      <c r="A755" s="7" t="s">
        <v>2042</v>
      </c>
      <c r="B755" s="7">
        <v>2021</v>
      </c>
      <c r="C755" s="7" t="s">
        <v>92</v>
      </c>
      <c r="D755" s="64">
        <v>199.95130345560233</v>
      </c>
      <c r="E755" s="7" t="s">
        <v>2041</v>
      </c>
      <c r="F755" s="7">
        <v>1</v>
      </c>
      <c r="G755" s="7">
        <v>1</v>
      </c>
      <c r="H755" s="7">
        <v>2</v>
      </c>
      <c r="I755" s="7">
        <v>2</v>
      </c>
      <c r="J755" s="7">
        <v>2</v>
      </c>
      <c r="K755" s="159">
        <f t="shared" si="12"/>
        <v>0.37356464144298934</v>
      </c>
    </row>
    <row r="756" spans="1:11">
      <c r="A756" s="7" t="s">
        <v>2042</v>
      </c>
      <c r="B756" s="7">
        <v>2022</v>
      </c>
      <c r="C756" s="7" t="s">
        <v>99</v>
      </c>
      <c r="D756" s="64">
        <v>172.36584384644331</v>
      </c>
      <c r="E756" s="7" t="s">
        <v>2041</v>
      </c>
      <c r="F756" s="7">
        <v>1</v>
      </c>
      <c r="G756" s="7">
        <v>1</v>
      </c>
      <c r="H756" s="7">
        <v>2</v>
      </c>
      <c r="I756" s="7">
        <v>2</v>
      </c>
      <c r="J756" s="7">
        <v>2</v>
      </c>
      <c r="K756" s="159">
        <f t="shared" si="12"/>
        <v>0.37356464144298934</v>
      </c>
    </row>
    <row r="757" spans="1:11">
      <c r="A757" s="7" t="s">
        <v>2042</v>
      </c>
      <c r="B757" s="7">
        <v>2022</v>
      </c>
      <c r="C757" s="7" t="s">
        <v>98</v>
      </c>
      <c r="D757" s="64">
        <v>264.35001936577788</v>
      </c>
      <c r="E757" s="7" t="s">
        <v>2041</v>
      </c>
      <c r="F757" s="7">
        <v>1</v>
      </c>
      <c r="G757" s="7">
        <v>1</v>
      </c>
      <c r="H757" s="7">
        <v>2</v>
      </c>
      <c r="I757" s="7">
        <v>2</v>
      </c>
      <c r="J757" s="7">
        <v>2</v>
      </c>
      <c r="K757" s="159">
        <f t="shared" si="12"/>
        <v>0.37356464144298934</v>
      </c>
    </row>
    <row r="758" spans="1:11">
      <c r="A758" s="7" t="s">
        <v>2042</v>
      </c>
      <c r="B758" s="7">
        <v>2022</v>
      </c>
      <c r="C758" s="7" t="s">
        <v>95</v>
      </c>
      <c r="D758" s="64">
        <v>357.19874363320753</v>
      </c>
      <c r="E758" s="7" t="s">
        <v>2041</v>
      </c>
      <c r="F758" s="7">
        <v>1</v>
      </c>
      <c r="G758" s="7">
        <v>1</v>
      </c>
      <c r="H758" s="7">
        <v>2</v>
      </c>
      <c r="I758" s="7">
        <v>2</v>
      </c>
      <c r="J758" s="7">
        <v>2</v>
      </c>
      <c r="K758" s="159">
        <f t="shared" si="12"/>
        <v>0.37356464144298934</v>
      </c>
    </row>
    <row r="759" spans="1:11">
      <c r="A759" s="7" t="s">
        <v>2042</v>
      </c>
      <c r="B759" s="7">
        <v>2022</v>
      </c>
      <c r="C759" s="7" t="s">
        <v>91</v>
      </c>
      <c r="D759" s="64">
        <v>1775.9264851181979</v>
      </c>
      <c r="E759" s="7" t="s">
        <v>2041</v>
      </c>
      <c r="F759" s="7">
        <v>1</v>
      </c>
      <c r="G759" s="7">
        <v>1</v>
      </c>
      <c r="H759" s="7">
        <v>2</v>
      </c>
      <c r="I759" s="7">
        <v>2</v>
      </c>
      <c r="J759" s="7">
        <v>2</v>
      </c>
      <c r="K759" s="159">
        <f t="shared" si="12"/>
        <v>0.37356464144298934</v>
      </c>
    </row>
    <row r="760" spans="1:11">
      <c r="A760" s="7" t="s">
        <v>2042</v>
      </c>
      <c r="B760" s="7">
        <v>2022</v>
      </c>
      <c r="C760" s="7" t="s">
        <v>93</v>
      </c>
      <c r="D760" s="64">
        <v>194.31940453103229</v>
      </c>
      <c r="E760" s="7" t="s">
        <v>2041</v>
      </c>
      <c r="F760" s="7">
        <v>1</v>
      </c>
      <c r="G760" s="7">
        <v>1</v>
      </c>
      <c r="H760" s="7">
        <v>2</v>
      </c>
      <c r="I760" s="7">
        <v>2</v>
      </c>
      <c r="J760" s="7">
        <v>2</v>
      </c>
      <c r="K760" s="159">
        <f t="shared" si="12"/>
        <v>0.37356464144298934</v>
      </c>
    </row>
    <row r="761" spans="1:11">
      <c r="A761" s="7" t="s">
        <v>2042</v>
      </c>
      <c r="B761" s="7">
        <v>2022</v>
      </c>
      <c r="C761" s="7" t="s">
        <v>90</v>
      </c>
      <c r="D761" s="64">
        <v>125.53197967894016</v>
      </c>
      <c r="E761" s="7" t="s">
        <v>2041</v>
      </c>
      <c r="F761" s="7">
        <v>1</v>
      </c>
      <c r="G761" s="7">
        <v>1</v>
      </c>
      <c r="H761" s="7">
        <v>2</v>
      </c>
      <c r="I761" s="7">
        <v>2</v>
      </c>
      <c r="J761" s="7">
        <v>2</v>
      </c>
      <c r="K761" s="159">
        <f t="shared" si="12"/>
        <v>0.37356464144298934</v>
      </c>
    </row>
    <row r="762" spans="1:11">
      <c r="A762" s="7" t="s">
        <v>2042</v>
      </c>
      <c r="B762" s="7">
        <v>2022</v>
      </c>
      <c r="C762" s="7" t="s">
        <v>92</v>
      </c>
      <c r="D762" s="64">
        <v>263.85989070088351</v>
      </c>
      <c r="E762" s="7" t="s">
        <v>2041</v>
      </c>
      <c r="F762" s="7">
        <v>1</v>
      </c>
      <c r="G762" s="7">
        <v>1</v>
      </c>
      <c r="H762" s="7">
        <v>2</v>
      </c>
      <c r="I762" s="7">
        <v>2</v>
      </c>
      <c r="J762" s="7">
        <v>2</v>
      </c>
      <c r="K762" s="159">
        <f t="shared" si="12"/>
        <v>0.37356464144298934</v>
      </c>
    </row>
    <row r="763" spans="1:11">
      <c r="A763" s="7" t="str">
        <f>Clothing!A285</f>
        <v>Import of plastic sheets</v>
      </c>
      <c r="B763" s="7">
        <f>Clothing!B285</f>
        <v>2011</v>
      </c>
      <c r="C763" s="7" t="str">
        <f>Clothing!C285</f>
        <v>RUBBER</v>
      </c>
      <c r="D763" s="7">
        <f>Clothing!D285</f>
        <v>54.941331439557288</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c r="A764" s="7" t="str">
        <f>Clothing!A286</f>
        <v>Import of plastic sheets</v>
      </c>
      <c r="B764" s="7">
        <f>Clothing!B286</f>
        <v>2012</v>
      </c>
      <c r="C764" s="7" t="str">
        <f>Clothing!C286</f>
        <v>RUBBER</v>
      </c>
      <c r="D764" s="7">
        <f>Clothing!D286</f>
        <v>51.456396462792867</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c r="A765" s="7" t="str">
        <f>Clothing!A287</f>
        <v>Import of plastic sheets</v>
      </c>
      <c r="B765" s="7">
        <f>Clothing!B287</f>
        <v>2013</v>
      </c>
      <c r="C765" s="7" t="str">
        <f>Clothing!C287</f>
        <v>RUBBER</v>
      </c>
      <c r="D765" s="7">
        <f>Clothing!D287</f>
        <v>51.662591421562617</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c r="A766" s="7" t="str">
        <f>Clothing!A288</f>
        <v>Import of plastic sheets</v>
      </c>
      <c r="B766" s="7">
        <f>Clothing!B288</f>
        <v>2014</v>
      </c>
      <c r="C766" s="7" t="str">
        <f>Clothing!C288</f>
        <v>RUBBER</v>
      </c>
      <c r="D766" s="7">
        <f>Clothing!D288</f>
        <v>56.330009028912002</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c r="A767" s="7" t="str">
        <f>Clothing!A289</f>
        <v>Import of plastic sheets</v>
      </c>
      <c r="B767" s="7">
        <f>Clothing!B289</f>
        <v>2015</v>
      </c>
      <c r="C767" s="7" t="str">
        <f>Clothing!C289</f>
        <v>RUBBER</v>
      </c>
      <c r="D767" s="7">
        <f>Clothing!D289</f>
        <v>53.287965603333156</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c r="A768" s="7" t="str">
        <f>Clothing!A290</f>
        <v>Import of plastic sheets</v>
      </c>
      <c r="B768" s="7">
        <f>Clothing!B290</f>
        <v>2016</v>
      </c>
      <c r="C768" s="7" t="str">
        <f>Clothing!C290</f>
        <v>RUBBER</v>
      </c>
      <c r="D768" s="7">
        <f>Clothing!D290</f>
        <v>52.381548003255105</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c r="A769" s="7" t="str">
        <f>Clothing!A291</f>
        <v>Import of plastic sheets</v>
      </c>
      <c r="B769" s="7">
        <f>Clothing!B291</f>
        <v>2017</v>
      </c>
      <c r="C769" s="7" t="str">
        <f>Clothing!C291</f>
        <v>RUBBER</v>
      </c>
      <c r="D769" s="7">
        <f>Clothing!D291</f>
        <v>54.13374795259152</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c r="A770" s="7" t="str">
        <f>Clothing!A292</f>
        <v>Import of plastic sheets</v>
      </c>
      <c r="B770" s="7">
        <f>Clothing!B292</f>
        <v>2018</v>
      </c>
      <c r="C770" s="7" t="str">
        <f>Clothing!C292</f>
        <v>RUBBER</v>
      </c>
      <c r="D770" s="7">
        <f>Clothing!D292</f>
        <v>65.517198060820036</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c r="A771" s="7" t="str">
        <f>Clothing!A293</f>
        <v>Import of plastic sheets</v>
      </c>
      <c r="B771" s="7">
        <f>Clothing!B293</f>
        <v>2019</v>
      </c>
      <c r="C771" s="7" t="str">
        <f>Clothing!C293</f>
        <v>RUBBER</v>
      </c>
      <c r="D771" s="7">
        <f>Clothing!D293</f>
        <v>53.855761880466289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c r="A772" s="7" t="str">
        <f>Clothing!A294</f>
        <v>Import of plastic sheets</v>
      </c>
      <c r="B772" s="7">
        <f>Clothing!B294</f>
        <v>2020</v>
      </c>
      <c r="C772" s="7" t="str">
        <f>Clothing!C294</f>
        <v>RUBBER</v>
      </c>
      <c r="D772" s="7">
        <f>Clothing!D294</f>
        <v>41.710144098892762</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c r="A773" s="7" t="str">
        <f>Clothing!A295</f>
        <v>Import of plastic sheets</v>
      </c>
      <c r="B773" s="7">
        <f>Clothing!B295</f>
        <v>2021</v>
      </c>
      <c r="C773" s="7" t="str">
        <f>Clothing!C295</f>
        <v>RUBBER</v>
      </c>
      <c r="D773" s="7">
        <f>Clothing!D295</f>
        <v>49.625283597448913</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c r="A774" s="7" t="str">
        <f>Clothing!A296</f>
        <v>Import of plastic sheets</v>
      </c>
      <c r="B774" s="7">
        <f>Clothing!B296</f>
        <v>2022</v>
      </c>
      <c r="C774" s="7" t="str">
        <f>Clothing!C296</f>
        <v>RUBBER</v>
      </c>
      <c r="D774" s="7">
        <f>Clothing!D296</f>
        <v>48.128269636147444</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c r="A775" s="7" t="str">
        <f>Clothing!A297</f>
        <v>Import of plastic sheets</v>
      </c>
      <c r="B775" s="7">
        <f>Clothing!B297</f>
        <v>2011</v>
      </c>
      <c r="C775" s="7" t="str">
        <f>Clothing!C297</f>
        <v>RUBBER</v>
      </c>
      <c r="D775" s="7">
        <f>Clothing!D297</f>
        <v>64.89264603469897</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c r="A776" s="7" t="str">
        <f>Clothing!A298</f>
        <v>Import of plastic sheets</v>
      </c>
      <c r="B776" s="7">
        <f>Clothing!B298</f>
        <v>2012</v>
      </c>
      <c r="C776" s="7" t="str">
        <f>Clothing!C298</f>
        <v>RUBBER</v>
      </c>
      <c r="D776" s="7">
        <f>Clothing!D298</f>
        <v>60.776498027803527</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c r="A777" s="7" t="str">
        <f>Clothing!A299</f>
        <v>Import of plastic sheets</v>
      </c>
      <c r="B777" s="7">
        <f>Clothing!B299</f>
        <v>2013</v>
      </c>
      <c r="C777" s="7" t="str">
        <f>Clothing!C299</f>
        <v>RUBBER</v>
      </c>
      <c r="D777" s="7">
        <f>Clothing!D299</f>
        <v>61.020040295946508</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c r="A778" s="7" t="str">
        <f>Clothing!A300</f>
        <v>Import of plastic sheets</v>
      </c>
      <c r="B778" s="7">
        <f>Clothing!B300</f>
        <v>2014</v>
      </c>
      <c r="C778" s="7" t="str">
        <f>Clothing!C300</f>
        <v>RUBBER</v>
      </c>
      <c r="D778" s="7">
        <f>Clothing!D300</f>
        <v>66.532849519054878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c r="A779" s="7" t="str">
        <f>Clothing!A301</f>
        <v>Import of plastic sheets</v>
      </c>
      <c r="B779" s="7">
        <f>Clothing!B301</f>
        <v>2015</v>
      </c>
      <c r="C779" s="7" t="str">
        <f>Clothing!C301</f>
        <v>RUBBER</v>
      </c>
      <c r="D779" s="7">
        <f>Clothing!D301</f>
        <v>62.939812327092312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c r="A780" s="7" t="str">
        <f>Clothing!A302</f>
        <v>Import of plastic sheets</v>
      </c>
      <c r="B780" s="7">
        <f>Clothing!B302</f>
        <v>2016</v>
      </c>
      <c r="C780" s="7" t="str">
        <f>Clothing!C302</f>
        <v>RUBBER</v>
      </c>
      <c r="D780" s="7">
        <f>Clothing!D302</f>
        <v>61.869218751357877</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c r="A781" s="7" t="str">
        <f>Clothing!A303</f>
        <v>Import of plastic sheets</v>
      </c>
      <c r="B781" s="7">
        <f>Clothing!B303</f>
        <v>2017</v>
      </c>
      <c r="C781" s="7" t="str">
        <f>Clothing!C303</f>
        <v>RUBBER</v>
      </c>
      <c r="D781" s="7">
        <f>Clothing!D303</f>
        <v>63.938788019430596</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c r="A782" s="7" t="str">
        <f>Clothing!A304</f>
        <v>Import of plastic sheets</v>
      </c>
      <c r="B782" s="7">
        <f>Clothing!B304</f>
        <v>2018</v>
      </c>
      <c r="C782" s="7" t="str">
        <f>Clothing!C304</f>
        <v>RUBBER</v>
      </c>
      <c r="D782" s="7">
        <f>Clothing!D304</f>
        <v>77.384079190424487</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c r="A783" s="7" t="str">
        <f>Clothing!A305</f>
        <v>Import of plastic sheets</v>
      </c>
      <c r="B783" s="7">
        <f>Clothing!B305</f>
        <v>2019</v>
      </c>
      <c r="C783" s="7" t="str">
        <f>Clothing!C305</f>
        <v>RUBBER</v>
      </c>
      <c r="D783" s="7">
        <f>Clothing!D305</f>
        <v>63.610451386365121</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c r="A784" s="7" t="str">
        <f>Clothing!A306</f>
        <v>Import of plastic sheets</v>
      </c>
      <c r="B784" s="7">
        <f>Clothing!B306</f>
        <v>2020</v>
      </c>
      <c r="C784" s="7" t="str">
        <f>Clothing!C306</f>
        <v>RUBBER</v>
      </c>
      <c r="D784" s="7">
        <f>Clothing!D306</f>
        <v>49.264944007471733</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c r="A785" s="7" t="str">
        <f>Clothing!A307</f>
        <v>Import of plastic sheets</v>
      </c>
      <c r="B785" s="7">
        <f>Clothing!B307</f>
        <v>2021</v>
      </c>
      <c r="C785" s="7" t="str">
        <f>Clothing!C307</f>
        <v>RUBBER</v>
      </c>
      <c r="D785" s="7">
        <f>Clothing!D307</f>
        <v>58.613722647103607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c r="A786" s="7" t="str">
        <f>Clothing!A308</f>
        <v>Import of plastic sheets</v>
      </c>
      <c r="B786" s="7">
        <f>Clothing!B308</f>
        <v>2022</v>
      </c>
      <c r="C786" s="7" t="str">
        <f>Clothing!C308</f>
        <v>RUBBER</v>
      </c>
      <c r="D786" s="7">
        <f>Clothing!D308</f>
        <v>56.845560235411583</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c r="A787" s="7" t="str">
        <f>Clothing!A309</f>
        <v>Import of yarn</v>
      </c>
      <c r="B787" s="7">
        <f>Clothing!B309</f>
        <v>2011</v>
      </c>
      <c r="C787" s="7" t="str">
        <f>Clothing!C309</f>
        <v>Acryl</v>
      </c>
      <c r="D787" s="7">
        <f>Clothing!D309</f>
        <v>31.32385605954126</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c r="A788" s="7" t="str">
        <f>Clothing!A310</f>
        <v>Import of yarn</v>
      </c>
      <c r="B788" s="7">
        <f>Clothing!B310</f>
        <v>2012</v>
      </c>
      <c r="C788" s="7" t="str">
        <f>Clothing!C310</f>
        <v>Acryl</v>
      </c>
      <c r="D788" s="7">
        <f>Clothing!D310</f>
        <v>28.939700712527884</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c r="A789" s="7" t="str">
        <f>Clothing!A311</f>
        <v>Import of yarn</v>
      </c>
      <c r="B789" s="7">
        <f>Clothing!B311</f>
        <v>2013</v>
      </c>
      <c r="C789" s="7" t="str">
        <f>Clothing!C311</f>
        <v>Acryl</v>
      </c>
      <c r="D789" s="7">
        <f>Clothing!D311</f>
        <v>27.533755281843465</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c r="A790" s="7" t="str">
        <f>Clothing!A312</f>
        <v>Import of yarn</v>
      </c>
      <c r="B790" s="7">
        <f>Clothing!B312</f>
        <v>2014</v>
      </c>
      <c r="C790" s="7" t="str">
        <f>Clothing!C312</f>
        <v>Acryl</v>
      </c>
      <c r="D790" s="7">
        <f>Clothing!D312</f>
        <v>26.834825610147327</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c r="A791" s="7" t="str">
        <f>Clothing!A313</f>
        <v>Import of yarn</v>
      </c>
      <c r="B791" s="7">
        <f>Clothing!B313</f>
        <v>2015</v>
      </c>
      <c r="C791" s="7" t="str">
        <f>Clothing!C313</f>
        <v>Acryl</v>
      </c>
      <c r="D791" s="7">
        <f>Clothing!D313</f>
        <v>24.139952861315848</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c r="A792" s="7" t="str">
        <f>Clothing!A314</f>
        <v>Import of yarn</v>
      </c>
      <c r="B792" s="7">
        <f>Clothing!B314</f>
        <v>2016</v>
      </c>
      <c r="C792" s="7" t="str">
        <f>Clothing!C314</f>
        <v>Acryl</v>
      </c>
      <c r="D792" s="7">
        <f>Clothing!D314</f>
        <v>27.520387154912541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c r="A793" s="7" t="str">
        <f>Clothing!A315</f>
        <v>Import of yarn</v>
      </c>
      <c r="B793" s="7">
        <f>Clothing!B315</f>
        <v>2017</v>
      </c>
      <c r="C793" s="7" t="str">
        <f>Clothing!C315</f>
        <v>Acryl</v>
      </c>
      <c r="D793" s="7">
        <f>Clothing!D315</f>
        <v>22.822083246558794</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c r="A794" s="7" t="str">
        <f>Clothing!A316</f>
        <v>Import of yarn</v>
      </c>
      <c r="B794" s="7">
        <f>Clothing!B316</f>
        <v>2018</v>
      </c>
      <c r="C794" s="7" t="str">
        <f>Clothing!C316</f>
        <v>Acryl</v>
      </c>
      <c r="D794" s="7">
        <f>Clothing!D316</f>
        <v>25.958485766822115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c r="A795" s="7" t="str">
        <f>Clothing!A317</f>
        <v>Import of yarn</v>
      </c>
      <c r="B795" s="7">
        <f>Clothing!B317</f>
        <v>2019</v>
      </c>
      <c r="C795" s="7" t="str">
        <f>Clothing!C317</f>
        <v>Acryl</v>
      </c>
      <c r="D795" s="7">
        <f>Clothing!D317</f>
        <v>25.420305249096643</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c r="A796" s="7" t="str">
        <f>Clothing!A318</f>
        <v>Import of yarn</v>
      </c>
      <c r="B796" s="7">
        <f>Clothing!B318</f>
        <v>2020</v>
      </c>
      <c r="C796" s="7" t="str">
        <f>Clothing!C318</f>
        <v>Acryl</v>
      </c>
      <c r="D796" s="7">
        <f>Clothing!D318</f>
        <v>19.264682497283751</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c r="A797" s="7" t="str">
        <f>Clothing!A319</f>
        <v>Import of yarn</v>
      </c>
      <c r="B797" s="7">
        <f>Clothing!B319</f>
        <v>2021</v>
      </c>
      <c r="C797" s="7" t="str">
        <f>Clothing!C319</f>
        <v>Acryl</v>
      </c>
      <c r="D797" s="7">
        <f>Clothing!D319</f>
        <v>19.718829697359631</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c r="A798" s="7" t="str">
        <f>Clothing!A320</f>
        <v>Import of yarn</v>
      </c>
      <c r="B798" s="7">
        <f>Clothing!B320</f>
        <v>2022</v>
      </c>
      <c r="C798" s="7" t="str">
        <f>Clothing!C320</f>
        <v>Acryl</v>
      </c>
      <c r="D798" s="7">
        <f>Clothing!D320</f>
        <v>21.348742392429976</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c r="A799" s="7" t="str">
        <f>Clothing!A321</f>
        <v>Import of yarn</v>
      </c>
      <c r="B799" s="7">
        <f>Clothing!B321</f>
        <v>2011</v>
      </c>
      <c r="C799" s="7" t="str">
        <f>Clothing!C321</f>
        <v>Acryl</v>
      </c>
      <c r="D799" s="7">
        <f>Clothing!D321</f>
        <v>36.99742708182994</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c r="A800" s="7" t="str">
        <f>Clothing!A322</f>
        <v>Import of yarn</v>
      </c>
      <c r="B800" s="7">
        <f>Clothing!B322</f>
        <v>2012</v>
      </c>
      <c r="C800" s="7" t="str">
        <f>Clothing!C322</f>
        <v>Acryl</v>
      </c>
      <c r="D800" s="7">
        <f>Clothing!D322</f>
        <v>34.181438736231144</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c r="A801" s="7" t="str">
        <f>Clothing!A323</f>
        <v>Import of yarn</v>
      </c>
      <c r="B801" s="7">
        <f>Clothing!B323</f>
        <v>2013</v>
      </c>
      <c r="C801" s="7" t="str">
        <f>Clothing!C323</f>
        <v>Acryl</v>
      </c>
      <c r="D801" s="7">
        <f>Clothing!D323</f>
        <v>32.520839752060596</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c r="A802" s="7" t="str">
        <f>Clothing!A324</f>
        <v>Import of yarn</v>
      </c>
      <c r="B802" s="7">
        <f>Clothing!B324</f>
        <v>2014</v>
      </c>
      <c r="C802" s="7" t="str">
        <f>Clothing!C324</f>
        <v>Acryl</v>
      </c>
      <c r="D802" s="7">
        <f>Clothing!D324</f>
        <v>31.695315604754061</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c r="A803" s="7" t="str">
        <f>Clothing!A325</f>
        <v>Import of yarn</v>
      </c>
      <c r="B803" s="7">
        <f>Clothing!B325</f>
        <v>2015</v>
      </c>
      <c r="C803" s="7" t="str">
        <f>Clothing!C325</f>
        <v>Acryl</v>
      </c>
      <c r="D803" s="7">
        <f>Clothing!D325</f>
        <v>28.512330795023608</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c r="A804" s="7" t="str">
        <f>Clothing!A326</f>
        <v>Import of yarn</v>
      </c>
      <c r="B804" s="7">
        <f>Clothing!B326</f>
        <v>2016</v>
      </c>
      <c r="C804" s="7" t="str">
        <f>Clothing!C326</f>
        <v>Acryl</v>
      </c>
      <c r="D804" s="7">
        <f>Clothing!D326</f>
        <v>32.505050307095466</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c r="A805" s="7" t="str">
        <f>Clothing!A327</f>
        <v>Import of yarn</v>
      </c>
      <c r="B805" s="7">
        <f>Clothing!B327</f>
        <v>2017</v>
      </c>
      <c r="C805" s="7" t="str">
        <f>Clothing!C327</f>
        <v>Acryl</v>
      </c>
      <c r="D805" s="7">
        <f>Clothing!D327</f>
        <v>26.955760464644953</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c r="A806" s="7" t="str">
        <f>Clothing!A328</f>
        <v>Import of yarn</v>
      </c>
      <c r="B806" s="7">
        <f>Clothing!B328</f>
        <v>2018</v>
      </c>
      <c r="C806" s="7" t="str">
        <f>Clothing!C328</f>
        <v>Acryl</v>
      </c>
      <c r="D806" s="7">
        <f>Clothing!D328</f>
        <v>30.660247655562316</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c r="A807" s="7" t="str">
        <f>Clothing!A329</f>
        <v>Import of yarn</v>
      </c>
      <c r="B807" s="7">
        <f>Clothing!B329</f>
        <v>2019</v>
      </c>
      <c r="C807" s="7" t="str">
        <f>Clothing!C329</f>
        <v>Acryl</v>
      </c>
      <c r="D807" s="7">
        <f>Clothing!D329</f>
        <v>30.024588545663409</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c r="A808" s="7" t="str">
        <f>Clothing!A330</f>
        <v>Import of yarn</v>
      </c>
      <c r="B808" s="7">
        <f>Clothing!B330</f>
        <v>2020</v>
      </c>
      <c r="C808" s="7" t="str">
        <f>Clothing!C330</f>
        <v>Acryl</v>
      </c>
      <c r="D808" s="7">
        <f>Clothing!D330</f>
        <v>22.754021235222702</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c r="A809" s="7" t="str">
        <f>Clothing!A331</f>
        <v>Import of yarn</v>
      </c>
      <c r="B809" s="7">
        <f>Clothing!B331</f>
        <v>2021</v>
      </c>
      <c r="C809" s="7" t="str">
        <f>Clothing!C331</f>
        <v>Acryl</v>
      </c>
      <c r="D809" s="7">
        <f>Clothing!D331</f>
        <v>23.29042639195967</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c r="A810" s="7" t="str">
        <f>Clothing!A332</f>
        <v>Import of yarn</v>
      </c>
      <c r="B810" s="7">
        <f>Clothing!B332</f>
        <v>2022</v>
      </c>
      <c r="C810" s="7" t="str">
        <f>Clothing!C332</f>
        <v>Acryl</v>
      </c>
      <c r="D810" s="7">
        <f>Clothing!D332</f>
        <v>25.215558980073638</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810" xr:uid="{E97B31CE-E6BF-4F52-9FA7-52F353BEC4BE}">
    <sortState xmlns:xlrd2="http://schemas.microsoft.com/office/spreadsheetml/2017/richdata2" ref="A2:L594">
      <sortCondition ref="A1:A594"/>
    </sortState>
  </autoFilter>
  <phoneticPr fontId="22" type="noConversion"/>
  <conditionalFormatting sqref="D1 D931:D1048576">
    <cfRule type="cellIs" dxfId="210" priority="55" operator="greaterThan">
      <formula>0</formula>
    </cfRule>
    <cfRule type="cellIs" dxfId="209"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208"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207" priority="9">
      <formula>LEN(TRIM(F2))=0</formula>
    </cfRule>
  </conditionalFormatting>
  <conditionalFormatting sqref="K1">
    <cfRule type="containsBlanks" dxfId="206"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205"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filterMode="1">
    <tabColor rgb="FF00B0F0"/>
  </sheetPr>
  <dimension ref="A1:AGJ2860"/>
  <sheetViews>
    <sheetView zoomScale="90" zoomScaleNormal="85" workbookViewId="0">
      <pane ySplit="1" topLeftCell="A1347" activePane="bottomLeft" state="frozen"/>
      <selection pane="bottomLeft" activeCell="A1347" sqref="A1347"/>
    </sheetView>
  </sheetViews>
  <sheetFormatPr defaultColWidth="9.33203125" defaultRowHeight="14.4"/>
  <cols>
    <col min="1" max="1" width="56.109375" style="7" customWidth="1"/>
    <col min="2" max="2" width="60.6640625" style="7" bestFit="1" customWidth="1"/>
    <col min="3" max="3" width="9.109375" style="7" customWidth="1"/>
    <col min="4" max="4" width="15.6640625" style="7" customWidth="1"/>
    <col min="5" max="5" width="16.33203125" style="120" customWidth="1"/>
    <col min="6" max="6" width="15.33203125" style="7" customWidth="1"/>
    <col min="7" max="7" width="65.88671875" style="7" customWidth="1"/>
    <col min="8" max="13" width="10.6640625" style="7" customWidth="1"/>
    <col min="14" max="15" width="10.6640625" style="64" customWidth="1"/>
    <col min="16" max="16" width="119.33203125" style="576" customWidth="1"/>
    <col min="17" max="868" width="9.33203125" style="16"/>
    <col min="869" max="16384" width="9.33203125" style="6"/>
  </cols>
  <sheetData>
    <row r="1" spans="1:868" ht="30" customHeigh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868" hidden="1">
      <c r="A2" s="150" t="str">
        <f>Agriculture!A92</f>
        <v>Agriculture</v>
      </c>
      <c r="B2" s="33" t="str">
        <f>Agriculture!B92</f>
        <v>Agricultural greenhouse films (discarded)</v>
      </c>
      <c r="C2" s="39" t="str">
        <f>Agriculture!C92</f>
        <v>NL</v>
      </c>
      <c r="D2" s="33" t="str">
        <f>Agriculture!D92</f>
        <v>PVC</v>
      </c>
      <c r="E2" s="845">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row>
    <row r="3" spans="1:868" hidden="1">
      <c r="A3" s="151" t="str">
        <f>Agriculture!A93</f>
        <v>Agriculture</v>
      </c>
      <c r="B3" s="34" t="str">
        <f>Agriculture!B93</f>
        <v>Agricultural greenhouse films (discarded)</v>
      </c>
      <c r="C3" s="40" t="str">
        <f>Agriculture!C93</f>
        <v>NL</v>
      </c>
      <c r="D3" s="34" t="str">
        <f>Agriculture!D93</f>
        <v>PS</v>
      </c>
      <c r="E3" s="846">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row>
    <row r="4" spans="1:868" hidden="1">
      <c r="A4" s="151" t="str">
        <f>Agriculture!A94</f>
        <v>Agriculture</v>
      </c>
      <c r="B4" s="34" t="str">
        <f>Agriculture!B94</f>
        <v>Agricultural greenhouse films (discarded)</v>
      </c>
      <c r="C4" s="40" t="str">
        <f>Agriculture!C94</f>
        <v>NL</v>
      </c>
      <c r="D4" s="34" t="str">
        <f>Agriculture!D94</f>
        <v>PP</v>
      </c>
      <c r="E4" s="846">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row>
    <row r="5" spans="1:868" hidden="1">
      <c r="A5" s="151" t="str">
        <f>Agriculture!A95</f>
        <v>Agriculture</v>
      </c>
      <c r="B5" s="34" t="str">
        <f>Agriculture!B95</f>
        <v>Agricultural greenhouse films (discarded)</v>
      </c>
      <c r="C5" s="40" t="str">
        <f>Agriculture!C95</f>
        <v>NL</v>
      </c>
      <c r="D5" s="34" t="str">
        <f>Agriculture!D95</f>
        <v>LDPE</v>
      </c>
      <c r="E5" s="846">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row>
    <row r="6" spans="1:868" s="823" customFormat="1" hidden="1">
      <c r="A6" s="151" t="str">
        <f>Agriculture!A96</f>
        <v>Agriculture</v>
      </c>
      <c r="B6" s="34" t="str">
        <f>Agriculture!B96</f>
        <v>Agricultural greenhouse films (discarded)</v>
      </c>
      <c r="C6" s="40" t="str">
        <f>Agriculture!C96</f>
        <v>NL</v>
      </c>
      <c r="D6" s="34" t="str">
        <f>Agriculture!D96</f>
        <v>HDPE</v>
      </c>
      <c r="E6" s="846">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hidden="1">
      <c r="A7" s="151" t="str">
        <f>Agriculture!A97</f>
        <v>Agriculture</v>
      </c>
      <c r="B7" s="34" t="str">
        <f>Agriculture!B97</f>
        <v>Agricultural greenhouse films (discarded)</v>
      </c>
      <c r="C7" s="40" t="str">
        <f>Agriculture!C97</f>
        <v>EU</v>
      </c>
      <c r="D7" s="34" t="str">
        <f>Agriculture!D97</f>
        <v>PVC</v>
      </c>
      <c r="E7" s="846">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row>
    <row r="8" spans="1:868" hidden="1">
      <c r="A8" s="151" t="str">
        <f>Agriculture!A98</f>
        <v>Agriculture</v>
      </c>
      <c r="B8" s="34" t="str">
        <f>Agriculture!B98</f>
        <v>Agricultural greenhouse films (discarded)</v>
      </c>
      <c r="C8" s="40" t="str">
        <f>Agriculture!C98</f>
        <v>EU</v>
      </c>
      <c r="D8" s="34" t="str">
        <f>Agriculture!D98</f>
        <v>PS</v>
      </c>
      <c r="E8" s="846">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row>
    <row r="9" spans="1:868" hidden="1">
      <c r="A9" s="151" t="str">
        <f>Agriculture!A99</f>
        <v>Agriculture</v>
      </c>
      <c r="B9" s="34" t="str">
        <f>Agriculture!B99</f>
        <v>Agricultural greenhouse films (discarded)</v>
      </c>
      <c r="C9" s="40" t="str">
        <f>Agriculture!C99</f>
        <v>EU</v>
      </c>
      <c r="D9" s="34" t="str">
        <f>Agriculture!D99</f>
        <v>PP</v>
      </c>
      <c r="E9" s="846">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row>
    <row r="10" spans="1:868" hidden="1">
      <c r="A10" s="151" t="str">
        <f>Agriculture!A100</f>
        <v>Agriculture</v>
      </c>
      <c r="B10" s="34" t="str">
        <f>Agriculture!B100</f>
        <v>Agricultural greenhouse films (discarded)</v>
      </c>
      <c r="C10" s="40" t="str">
        <f>Agriculture!C100</f>
        <v>EU</v>
      </c>
      <c r="D10" s="34" t="str">
        <f>Agriculture!D100</f>
        <v>LDPE</v>
      </c>
      <c r="E10" s="846">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row>
    <row r="11" spans="1:868" s="823" customFormat="1" hidden="1">
      <c r="A11" s="151" t="str">
        <f>Agriculture!A101</f>
        <v>Agriculture</v>
      </c>
      <c r="B11" s="34" t="str">
        <f>Agriculture!B101</f>
        <v>Agricultural greenhouse films (discarded)</v>
      </c>
      <c r="C11" s="40" t="str">
        <f>Agriculture!C101</f>
        <v>EU</v>
      </c>
      <c r="D11" s="34" t="str">
        <f>Agriculture!D101</f>
        <v>HDPE</v>
      </c>
      <c r="E11" s="846">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hidden="1">
      <c r="A12" s="151" t="str">
        <f>Agriculture!A72</f>
        <v>Agriculture</v>
      </c>
      <c r="B12" s="34" t="str">
        <f>Agriculture!B72</f>
        <v>Agricultural greenhouse films (in use)</v>
      </c>
      <c r="C12" s="40" t="str">
        <f>Agriculture!C72</f>
        <v>NL</v>
      </c>
      <c r="D12" s="34" t="str">
        <f>Agriculture!D72</f>
        <v>PVC</v>
      </c>
      <c r="E12" s="846">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row>
    <row r="13" spans="1:868" hidden="1">
      <c r="A13" s="151" t="str">
        <f>Agriculture!A73</f>
        <v>Agriculture</v>
      </c>
      <c r="B13" s="34" t="str">
        <f>Agriculture!B73</f>
        <v>Agricultural greenhouse films (in use)</v>
      </c>
      <c r="C13" s="40" t="str">
        <f>Agriculture!C73</f>
        <v>NL</v>
      </c>
      <c r="D13" s="34" t="str">
        <f>Agriculture!D73</f>
        <v>PS</v>
      </c>
      <c r="E13" s="846">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row>
    <row r="14" spans="1:868" hidden="1">
      <c r="A14" s="151" t="str">
        <f>Agriculture!A74</f>
        <v>Agriculture</v>
      </c>
      <c r="B14" s="34" t="str">
        <f>Agriculture!B74</f>
        <v>Agricultural greenhouse films (in use)</v>
      </c>
      <c r="C14" s="40" t="str">
        <f>Agriculture!C74</f>
        <v>NL</v>
      </c>
      <c r="D14" s="34" t="str">
        <f>Agriculture!D74</f>
        <v>PP</v>
      </c>
      <c r="E14" s="846">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row>
    <row r="15" spans="1:868" hidden="1">
      <c r="A15" s="151" t="str">
        <f>Agriculture!A75</f>
        <v>Agriculture</v>
      </c>
      <c r="B15" s="34" t="str">
        <f>Agriculture!B75</f>
        <v>Agricultural greenhouse films (in use)</v>
      </c>
      <c r="C15" s="40" t="str">
        <f>Agriculture!C75</f>
        <v>NL</v>
      </c>
      <c r="D15" s="34" t="str">
        <f>Agriculture!D75</f>
        <v>LDPE</v>
      </c>
      <c r="E15" s="846">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row>
    <row r="16" spans="1:868" hidden="1">
      <c r="A16" s="151" t="str">
        <f>Agriculture!A76</f>
        <v>Agriculture</v>
      </c>
      <c r="B16" s="34" t="str">
        <f>Agriculture!B76</f>
        <v>Agricultural greenhouse films (in use)</v>
      </c>
      <c r="C16" s="40" t="str">
        <f>Agriculture!C76</f>
        <v>NL</v>
      </c>
      <c r="D16" s="34" t="str">
        <f>Agriculture!D76</f>
        <v>HDPE</v>
      </c>
      <c r="E16" s="846">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row>
    <row r="17" spans="1:16" hidden="1">
      <c r="A17" s="151" t="str">
        <f>Agriculture!A77</f>
        <v>Agriculture</v>
      </c>
      <c r="B17" s="34" t="str">
        <f>Agriculture!B77</f>
        <v>Agricultural greenhouse films (in use)</v>
      </c>
      <c r="C17" s="40" t="str">
        <f>Agriculture!C77</f>
        <v>EU</v>
      </c>
      <c r="D17" s="34" t="str">
        <f>Agriculture!D77</f>
        <v>PVC</v>
      </c>
      <c r="E17" s="846">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row>
    <row r="18" spans="1:16" hidden="1">
      <c r="A18" s="151" t="str">
        <f>Agriculture!A78</f>
        <v>Agriculture</v>
      </c>
      <c r="B18" s="34" t="str">
        <f>Agriculture!B78</f>
        <v>Agricultural greenhouse films (in use)</v>
      </c>
      <c r="C18" s="40" t="str">
        <f>Agriculture!C78</f>
        <v>EU</v>
      </c>
      <c r="D18" s="34" t="str">
        <f>Agriculture!D78</f>
        <v>PS</v>
      </c>
      <c r="E18" s="846">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row>
    <row r="19" spans="1:16" hidden="1">
      <c r="A19" s="151" t="str">
        <f>Agriculture!A79</f>
        <v>Agriculture</v>
      </c>
      <c r="B19" s="34" t="str">
        <f>Agriculture!B79</f>
        <v>Agricultural greenhouse films (in use)</v>
      </c>
      <c r="C19" s="40" t="str">
        <f>Agriculture!C79</f>
        <v>EU</v>
      </c>
      <c r="D19" s="34" t="str">
        <f>Agriculture!D79</f>
        <v>PP</v>
      </c>
      <c r="E19" s="846">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row>
    <row r="20" spans="1:16" hidden="1">
      <c r="A20" s="151" t="str">
        <f>Agriculture!A80</f>
        <v>Agriculture</v>
      </c>
      <c r="B20" s="34" t="str">
        <f>Agriculture!B80</f>
        <v>Agricultural greenhouse films (in use)</v>
      </c>
      <c r="C20" s="40" t="str">
        <f>Agriculture!C80</f>
        <v>EU</v>
      </c>
      <c r="D20" s="34" t="str">
        <f>Agriculture!D80</f>
        <v>LDPE</v>
      </c>
      <c r="E20" s="846">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row>
    <row r="21" spans="1:16" hidden="1">
      <c r="A21" s="151" t="str">
        <f>Agriculture!A81</f>
        <v>Agriculture</v>
      </c>
      <c r="B21" s="34" t="str">
        <f>Agriculture!B81</f>
        <v>Agricultural greenhouse films (in use)</v>
      </c>
      <c r="C21" s="40" t="str">
        <f>Agriculture!C81</f>
        <v>EU</v>
      </c>
      <c r="D21" s="34" t="str">
        <f>Agriculture!D81</f>
        <v>HDPE</v>
      </c>
      <c r="E21" s="846">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row>
    <row r="22" spans="1:16" hidden="1">
      <c r="A22" s="151" t="str">
        <f>Agriculture!A102</f>
        <v>Agriculture</v>
      </c>
      <c r="B22" s="34" t="str">
        <f>Agriculture!B102</f>
        <v>Agricultural mulching films</v>
      </c>
      <c r="C22" s="40" t="str">
        <f>Agriculture!C102</f>
        <v>NL</v>
      </c>
      <c r="D22" s="34" t="str">
        <f>Agriculture!D102</f>
        <v>PVC</v>
      </c>
      <c r="E22" s="846">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row>
    <row r="23" spans="1:16" hidden="1">
      <c r="A23" s="151" t="str">
        <f>Agriculture!A103</f>
        <v>Agriculture</v>
      </c>
      <c r="B23" s="34" t="str">
        <f>Agriculture!B103</f>
        <v>Agricultural mulching films</v>
      </c>
      <c r="C23" s="40" t="str">
        <f>Agriculture!C103</f>
        <v>NL</v>
      </c>
      <c r="D23" s="34" t="str">
        <f>Agriculture!D103</f>
        <v>PS</v>
      </c>
      <c r="E23" s="846">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row>
    <row r="24" spans="1:16" hidden="1">
      <c r="A24" s="151" t="str">
        <f>Agriculture!A104</f>
        <v>Agriculture</v>
      </c>
      <c r="B24" s="34" t="str">
        <f>Agriculture!B104</f>
        <v>Agricultural mulching films</v>
      </c>
      <c r="C24" s="40" t="str">
        <f>Agriculture!C104</f>
        <v>NL</v>
      </c>
      <c r="D24" s="34" t="str">
        <f>Agriculture!D104</f>
        <v>PP</v>
      </c>
      <c r="E24" s="846">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row>
    <row r="25" spans="1:16" hidden="1">
      <c r="A25" s="151" t="str">
        <f>Agriculture!A105</f>
        <v>Agriculture</v>
      </c>
      <c r="B25" s="34" t="str">
        <f>Agriculture!B105</f>
        <v>Agricultural mulching films</v>
      </c>
      <c r="C25" s="40" t="str">
        <f>Agriculture!C105</f>
        <v>NL</v>
      </c>
      <c r="D25" s="34" t="str">
        <f>Agriculture!D105</f>
        <v>LDPE</v>
      </c>
      <c r="E25" s="846">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row>
    <row r="26" spans="1:16" hidden="1">
      <c r="A26" s="151" t="str">
        <f>Agriculture!A106</f>
        <v>Agriculture</v>
      </c>
      <c r="B26" s="34" t="str">
        <f>Agriculture!B106</f>
        <v>Agricultural mulching films</v>
      </c>
      <c r="C26" s="40" t="str">
        <f>Agriculture!C106</f>
        <v>NL</v>
      </c>
      <c r="D26" s="34" t="str">
        <f>Agriculture!D106</f>
        <v>HDPE</v>
      </c>
      <c r="E26" s="846">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row>
    <row r="27" spans="1:16" hidden="1">
      <c r="A27" s="151" t="str">
        <f>Agriculture!A107</f>
        <v>Agriculture</v>
      </c>
      <c r="B27" s="34" t="str">
        <f>Agriculture!B107</f>
        <v>Agricultural mulching films</v>
      </c>
      <c r="C27" s="40" t="str">
        <f>Agriculture!C107</f>
        <v>EU</v>
      </c>
      <c r="D27" s="34" t="str">
        <f>Agriculture!D107</f>
        <v>PVC</v>
      </c>
      <c r="E27" s="846">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row>
    <row r="28" spans="1:16" hidden="1">
      <c r="A28" s="151" t="str">
        <f>Agriculture!A108</f>
        <v>Agriculture</v>
      </c>
      <c r="B28" s="34" t="str">
        <f>Agriculture!B108</f>
        <v>Agricultural mulching films</v>
      </c>
      <c r="C28" s="40" t="str">
        <f>Agriculture!C108</f>
        <v>EU</v>
      </c>
      <c r="D28" s="34" t="str">
        <f>Agriculture!D108</f>
        <v>PS</v>
      </c>
      <c r="E28" s="846">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row>
    <row r="29" spans="1:16" hidden="1">
      <c r="A29" s="151" t="str">
        <f>Agriculture!A109</f>
        <v>Agriculture</v>
      </c>
      <c r="B29" s="34" t="str">
        <f>Agriculture!B109</f>
        <v>Agricultural mulching films</v>
      </c>
      <c r="C29" s="40" t="str">
        <f>Agriculture!C109</f>
        <v>EU</v>
      </c>
      <c r="D29" s="34" t="str">
        <f>Agriculture!D109</f>
        <v>PP</v>
      </c>
      <c r="E29" s="846">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row>
    <row r="30" spans="1:16" hidden="1">
      <c r="A30" s="151" t="str">
        <f>Agriculture!A110</f>
        <v>Agriculture</v>
      </c>
      <c r="B30" s="34" t="str">
        <f>Agriculture!B110</f>
        <v>Agricultural mulching films</v>
      </c>
      <c r="C30" s="40" t="str">
        <f>Agriculture!C110</f>
        <v>EU</v>
      </c>
      <c r="D30" s="34" t="str">
        <f>Agriculture!D110</f>
        <v>LDPE</v>
      </c>
      <c r="E30" s="846">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row>
    <row r="31" spans="1:16" hidden="1">
      <c r="A31" s="151" t="str">
        <f>Agriculture!A111</f>
        <v>Agriculture</v>
      </c>
      <c r="B31" s="34" t="str">
        <f>Agriculture!B111</f>
        <v>Agricultural mulching films</v>
      </c>
      <c r="C31" s="40" t="str">
        <f>Agriculture!C111</f>
        <v>EU</v>
      </c>
      <c r="D31" s="34" t="str">
        <f>Agriculture!D111</f>
        <v>HDPE</v>
      </c>
      <c r="E31" s="846">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row>
    <row r="32" spans="1:16" hidden="1">
      <c r="A32" s="151" t="str">
        <f>Agriculture!A62</f>
        <v>Agriculture</v>
      </c>
      <c r="B32" s="34" t="str">
        <f>Agriculture!B62</f>
        <v>Agricultural other</v>
      </c>
      <c r="C32" s="40" t="str">
        <f>Agriculture!C62</f>
        <v>NL</v>
      </c>
      <c r="D32" s="34" t="str">
        <f>Agriculture!D62</f>
        <v>PVC</v>
      </c>
      <c r="E32" s="846">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row>
    <row r="33" spans="1:16" hidden="1">
      <c r="A33" s="151" t="str">
        <f>Agriculture!A63</f>
        <v>Agriculture</v>
      </c>
      <c r="B33" s="34" t="str">
        <f>Agriculture!B63</f>
        <v>Agricultural other</v>
      </c>
      <c r="C33" s="40" t="str">
        <f>Agriculture!C63</f>
        <v>NL</v>
      </c>
      <c r="D33" s="34" t="str">
        <f>Agriculture!D63</f>
        <v>PS</v>
      </c>
      <c r="E33" s="846">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row>
    <row r="34" spans="1:16" hidden="1">
      <c r="A34" s="151" t="str">
        <f>Agriculture!A64</f>
        <v>Agriculture</v>
      </c>
      <c r="B34" s="34" t="str">
        <f>Agriculture!B64</f>
        <v>Agricultural other</v>
      </c>
      <c r="C34" s="40" t="str">
        <f>Agriculture!C64</f>
        <v>NL</v>
      </c>
      <c r="D34" s="34" t="str">
        <f>Agriculture!D64</f>
        <v>PP</v>
      </c>
      <c r="E34" s="846">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row>
    <row r="35" spans="1:16" hidden="1">
      <c r="A35" s="151" t="str">
        <f>Agriculture!A65</f>
        <v>Agriculture</v>
      </c>
      <c r="B35" s="34" t="str">
        <f>Agriculture!B65</f>
        <v>Agricultural other</v>
      </c>
      <c r="C35" s="40" t="str">
        <f>Agriculture!C65</f>
        <v>NL</v>
      </c>
      <c r="D35" s="34" t="str">
        <f>Agriculture!D65</f>
        <v>LDPE</v>
      </c>
      <c r="E35" s="846">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row>
    <row r="36" spans="1:16" hidden="1">
      <c r="A36" s="151" t="str">
        <f>Agriculture!A66</f>
        <v>Agriculture</v>
      </c>
      <c r="B36" s="34" t="str">
        <f>Agriculture!B66</f>
        <v>Agricultural other</v>
      </c>
      <c r="C36" s="40" t="str">
        <f>Agriculture!C66</f>
        <v>NL</v>
      </c>
      <c r="D36" s="34" t="str">
        <f>Agriculture!D66</f>
        <v>HDPE</v>
      </c>
      <c r="E36" s="846">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row>
    <row r="37" spans="1:16" hidden="1">
      <c r="A37" s="151" t="str">
        <f>Agriculture!A67</f>
        <v>Agriculture</v>
      </c>
      <c r="B37" s="34" t="str">
        <f>Agriculture!B67</f>
        <v>Agricultural other</v>
      </c>
      <c r="C37" s="40" t="str">
        <f>Agriculture!C67</f>
        <v>EU</v>
      </c>
      <c r="D37" s="34" t="str">
        <f>Agriculture!D67</f>
        <v>PVC</v>
      </c>
      <c r="E37" s="846">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row>
    <row r="38" spans="1:16" hidden="1">
      <c r="A38" s="151" t="str">
        <f>Agriculture!A68</f>
        <v>Agriculture</v>
      </c>
      <c r="B38" s="34" t="str">
        <f>Agriculture!B68</f>
        <v>Agricultural other</v>
      </c>
      <c r="C38" s="40" t="str">
        <f>Agriculture!C68</f>
        <v>EU</v>
      </c>
      <c r="D38" s="34" t="str">
        <f>Agriculture!D68</f>
        <v>PS</v>
      </c>
      <c r="E38" s="846">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row>
    <row r="39" spans="1:16" hidden="1">
      <c r="A39" s="151" t="str">
        <f>Agriculture!A69</f>
        <v>Agriculture</v>
      </c>
      <c r="B39" s="34" t="str">
        <f>Agriculture!B69</f>
        <v>Agricultural other</v>
      </c>
      <c r="C39" s="40" t="str">
        <f>Agriculture!C69</f>
        <v>EU</v>
      </c>
      <c r="D39" s="34" t="str">
        <f>Agriculture!D69</f>
        <v>PP</v>
      </c>
      <c r="E39" s="846">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row>
    <row r="40" spans="1:16" hidden="1">
      <c r="A40" s="151" t="str">
        <f>Agriculture!A70</f>
        <v>Agriculture</v>
      </c>
      <c r="B40" s="34" t="str">
        <f>Agriculture!B70</f>
        <v>Agricultural other</v>
      </c>
      <c r="C40" s="40" t="str">
        <f>Agriculture!C70</f>
        <v>EU</v>
      </c>
      <c r="D40" s="34" t="str">
        <f>Agriculture!D70</f>
        <v>LDPE</v>
      </c>
      <c r="E40" s="846">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row>
    <row r="41" spans="1:16" hidden="1">
      <c r="A41" s="151" t="str">
        <f>Agriculture!A71</f>
        <v>Agriculture</v>
      </c>
      <c r="B41" s="34" t="str">
        <f>Agriculture!B71</f>
        <v>Agricultural other</v>
      </c>
      <c r="C41" s="40" t="str">
        <f>Agriculture!C71</f>
        <v>EU</v>
      </c>
      <c r="D41" s="34" t="str">
        <f>Agriculture!D71</f>
        <v>HDPE</v>
      </c>
      <c r="E41" s="846">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row>
    <row r="42" spans="1:16" hidden="1">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row>
    <row r="43" spans="1:16" hidden="1">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row>
    <row r="44" spans="1:16" hidden="1">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row>
    <row r="45" spans="1:16" hidden="1">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row>
    <row r="46" spans="1:16" hidden="1">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row>
    <row r="47" spans="1:16" hidden="1">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row>
    <row r="48" spans="1:16" hidden="1">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row>
    <row r="49" spans="1:16" hidden="1">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row>
    <row r="50" spans="1:16" hidden="1">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row>
    <row r="51" spans="1:16" hidden="1">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row>
    <row r="52" spans="1:16" hidden="1">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row>
    <row r="53" spans="1:16" hidden="1">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row>
    <row r="54" spans="1:16" hidden="1">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row>
    <row r="55" spans="1:16" hidden="1">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row>
    <row r="56" spans="1:16" hidden="1">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row>
    <row r="57" spans="1:16" hidden="1">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row>
    <row r="58" spans="1:16" hidden="1">
      <c r="A58" s="151" t="str">
        <f>Agriculture!A52</f>
        <v>Agriculture</v>
      </c>
      <c r="B58" s="34" t="str">
        <f>Agriculture!B52</f>
        <v>Agricultural pipes (discarded)</v>
      </c>
      <c r="C58" s="40" t="str">
        <f>Agriculture!C52</f>
        <v>NL</v>
      </c>
      <c r="D58" s="34" t="str">
        <f>Agriculture!D52</f>
        <v>PVC</v>
      </c>
      <c r="E58" s="846">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row>
    <row r="59" spans="1:16" hidden="1">
      <c r="A59" s="151" t="str">
        <f>Agriculture!A53</f>
        <v>Agriculture</v>
      </c>
      <c r="B59" s="34" t="str">
        <f>Agriculture!B53</f>
        <v>Agricultural pipes (discarded)</v>
      </c>
      <c r="C59" s="40" t="str">
        <f>Agriculture!C53</f>
        <v>NL</v>
      </c>
      <c r="D59" s="34" t="str">
        <f>Agriculture!D53</f>
        <v>PS</v>
      </c>
      <c r="E59" s="846">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row>
    <row r="60" spans="1:16" hidden="1">
      <c r="A60" s="151" t="str">
        <f>Agriculture!A54</f>
        <v>Agriculture</v>
      </c>
      <c r="B60" s="34" t="str">
        <f>Agriculture!B54</f>
        <v>Agricultural pipes (discarded)</v>
      </c>
      <c r="C60" s="40" t="str">
        <f>Agriculture!C54</f>
        <v>NL</v>
      </c>
      <c r="D60" s="34" t="str">
        <f>Agriculture!D54</f>
        <v>PP</v>
      </c>
      <c r="E60" s="846">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row>
    <row r="61" spans="1:16" hidden="1">
      <c r="A61" s="151" t="str">
        <f>Agriculture!A55</f>
        <v>Agriculture</v>
      </c>
      <c r="B61" s="34" t="str">
        <f>Agriculture!B55</f>
        <v>Agricultural pipes (discarded)</v>
      </c>
      <c r="C61" s="40" t="str">
        <f>Agriculture!C55</f>
        <v>NL</v>
      </c>
      <c r="D61" s="34" t="str">
        <f>Agriculture!D55</f>
        <v>LDPE</v>
      </c>
      <c r="E61" s="846">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row>
    <row r="62" spans="1:16" hidden="1">
      <c r="A62" s="151" t="str">
        <f>Agriculture!A56</f>
        <v>Agriculture</v>
      </c>
      <c r="B62" s="34" t="str">
        <f>Agriculture!B56</f>
        <v>Agricultural pipes (discarded)</v>
      </c>
      <c r="C62" s="40" t="str">
        <f>Agriculture!C56</f>
        <v>NL</v>
      </c>
      <c r="D62" s="34" t="str">
        <f>Agriculture!D56</f>
        <v>HDPE</v>
      </c>
      <c r="E62" s="846">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row>
    <row r="63" spans="1:16" hidden="1">
      <c r="A63" s="151" t="str">
        <f>Agriculture!A57</f>
        <v>Agriculture</v>
      </c>
      <c r="B63" s="34" t="str">
        <f>Agriculture!B57</f>
        <v>Agricultural pipes (discarded)</v>
      </c>
      <c r="C63" s="40" t="str">
        <f>Agriculture!C57</f>
        <v>EU</v>
      </c>
      <c r="D63" s="34" t="str">
        <f>Agriculture!D57</f>
        <v>PVC</v>
      </c>
      <c r="E63" s="846">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row>
    <row r="64" spans="1:16" hidden="1">
      <c r="A64" s="151" t="str">
        <f>Agriculture!A58</f>
        <v>Agriculture</v>
      </c>
      <c r="B64" s="34" t="str">
        <f>Agriculture!B58</f>
        <v>Agricultural pipes (discarded)</v>
      </c>
      <c r="C64" s="40" t="str">
        <f>Agriculture!C58</f>
        <v>EU</v>
      </c>
      <c r="D64" s="34" t="str">
        <f>Agriculture!D58</f>
        <v>PS</v>
      </c>
      <c r="E64" s="846">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row>
    <row r="65" spans="1:16" hidden="1">
      <c r="A65" s="151" t="str">
        <f>Agriculture!A59</f>
        <v>Agriculture</v>
      </c>
      <c r="B65" s="34" t="str">
        <f>Agriculture!B59</f>
        <v>Agricultural pipes (discarded)</v>
      </c>
      <c r="C65" s="40" t="str">
        <f>Agriculture!C59</f>
        <v>EU</v>
      </c>
      <c r="D65" s="34" t="str">
        <f>Agriculture!D59</f>
        <v>PP</v>
      </c>
      <c r="E65" s="846">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row>
    <row r="66" spans="1:16" hidden="1">
      <c r="A66" s="151" t="str">
        <f>Agriculture!A60</f>
        <v>Agriculture</v>
      </c>
      <c r="B66" s="34" t="str">
        <f>Agriculture!B60</f>
        <v>Agricultural pipes (discarded)</v>
      </c>
      <c r="C66" s="40" t="str">
        <f>Agriculture!C60</f>
        <v>EU</v>
      </c>
      <c r="D66" s="34" t="str">
        <f>Agriculture!D60</f>
        <v>LDPE</v>
      </c>
      <c r="E66" s="846">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row>
    <row r="67" spans="1:16" hidden="1">
      <c r="A67" s="151" t="str">
        <f>Agriculture!A61</f>
        <v>Agriculture</v>
      </c>
      <c r="B67" s="34" t="str">
        <f>Agriculture!B61</f>
        <v>Agricultural pipes (discarded)</v>
      </c>
      <c r="C67" s="40" t="str">
        <f>Agriculture!C61</f>
        <v>EU</v>
      </c>
      <c r="D67" s="34" t="str">
        <f>Agriculture!D61</f>
        <v>HDPE</v>
      </c>
      <c r="E67" s="846">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row>
    <row r="68" spans="1:16" hidden="1">
      <c r="A68" s="151" t="str">
        <f>Agriculture!A82</f>
        <v>Agriculture</v>
      </c>
      <c r="B68" s="34" t="str">
        <f>Agriculture!B82</f>
        <v>Agricultural pipes (in use)</v>
      </c>
      <c r="C68" s="40" t="str">
        <f>Agriculture!C82</f>
        <v>NL</v>
      </c>
      <c r="D68" s="34" t="str">
        <f>Agriculture!D82</f>
        <v>PVC</v>
      </c>
      <c r="E68" s="846">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row>
    <row r="69" spans="1:16" hidden="1">
      <c r="A69" s="151" t="str">
        <f>Agriculture!A83</f>
        <v>Agriculture</v>
      </c>
      <c r="B69" s="34" t="str">
        <f>Agriculture!B83</f>
        <v>Agricultural pipes (in use)</v>
      </c>
      <c r="C69" s="40" t="str">
        <f>Agriculture!C83</f>
        <v>NL</v>
      </c>
      <c r="D69" s="34" t="str">
        <f>Agriculture!D83</f>
        <v>PS</v>
      </c>
      <c r="E69" s="846">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row>
    <row r="70" spans="1:16" hidden="1">
      <c r="A70" s="151" t="str">
        <f>Agriculture!A84</f>
        <v>Agriculture</v>
      </c>
      <c r="B70" s="34" t="str">
        <f>Agriculture!B84</f>
        <v>Agricultural pipes (in use)</v>
      </c>
      <c r="C70" s="40" t="str">
        <f>Agriculture!C84</f>
        <v>NL</v>
      </c>
      <c r="D70" s="34" t="str">
        <f>Agriculture!D84</f>
        <v>PP</v>
      </c>
      <c r="E70" s="846">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row>
    <row r="71" spans="1:16" hidden="1">
      <c r="A71" s="151" t="str">
        <f>Agriculture!A85</f>
        <v>Agriculture</v>
      </c>
      <c r="B71" s="34" t="str">
        <f>Agriculture!B85</f>
        <v>Agricultural pipes (in use)</v>
      </c>
      <c r="C71" s="40" t="str">
        <f>Agriculture!C85</f>
        <v>NL</v>
      </c>
      <c r="D71" s="34" t="str">
        <f>Agriculture!D85</f>
        <v>LDPE</v>
      </c>
      <c r="E71" s="846">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row>
    <row r="72" spans="1:16" hidden="1">
      <c r="A72" s="151" t="str">
        <f>Agriculture!A86</f>
        <v>Agriculture</v>
      </c>
      <c r="B72" s="34" t="str">
        <f>Agriculture!B86</f>
        <v>Agricultural pipes (in use)</v>
      </c>
      <c r="C72" s="40" t="str">
        <f>Agriculture!C86</f>
        <v>NL</v>
      </c>
      <c r="D72" s="34" t="str">
        <f>Agriculture!D86</f>
        <v>HDPE</v>
      </c>
      <c r="E72" s="846">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row>
    <row r="73" spans="1:16" hidden="1">
      <c r="A73" s="151" t="str">
        <f>Agriculture!A87</f>
        <v>Agriculture</v>
      </c>
      <c r="B73" s="34" t="str">
        <f>Agriculture!B87</f>
        <v>Agricultural pipes (in use)</v>
      </c>
      <c r="C73" s="40" t="str">
        <f>Agriculture!C87</f>
        <v>EU</v>
      </c>
      <c r="D73" s="34" t="str">
        <f>Agriculture!D87</f>
        <v>PVC</v>
      </c>
      <c r="E73" s="846">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row>
    <row r="74" spans="1:16" hidden="1">
      <c r="A74" s="151" t="str">
        <f>Agriculture!A88</f>
        <v>Agriculture</v>
      </c>
      <c r="B74" s="34" t="str">
        <f>Agriculture!B88</f>
        <v>Agricultural pipes (in use)</v>
      </c>
      <c r="C74" s="40" t="str">
        <f>Agriculture!C88</f>
        <v>EU</v>
      </c>
      <c r="D74" s="34" t="str">
        <f>Agriculture!D88</f>
        <v>PS</v>
      </c>
      <c r="E74" s="846">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row>
    <row r="75" spans="1:16" hidden="1">
      <c r="A75" s="151" t="str">
        <f>Agriculture!A89</f>
        <v>Agriculture</v>
      </c>
      <c r="B75" s="34" t="str">
        <f>Agriculture!B89</f>
        <v>Agricultural pipes (in use)</v>
      </c>
      <c r="C75" s="40" t="str">
        <f>Agriculture!C89</f>
        <v>EU</v>
      </c>
      <c r="D75" s="34" t="str">
        <f>Agriculture!D89</f>
        <v>PP</v>
      </c>
      <c r="E75" s="846">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row>
    <row r="76" spans="1:16" s="16" customFormat="1" hidden="1">
      <c r="A76" s="151" t="str">
        <f>Agriculture!A90</f>
        <v>Agriculture</v>
      </c>
      <c r="B76" s="34" t="str">
        <f>Agriculture!B90</f>
        <v>Agricultural pipes (in use)</v>
      </c>
      <c r="C76" s="40" t="str">
        <f>Agriculture!C90</f>
        <v>EU</v>
      </c>
      <c r="D76" s="34" t="str">
        <f>Agriculture!D90</f>
        <v>LDPE</v>
      </c>
      <c r="E76" s="846">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16" s="16" customFormat="1" hidden="1">
      <c r="A77" s="151" t="str">
        <f>Agriculture!A91</f>
        <v>Agriculture</v>
      </c>
      <c r="B77" s="34" t="str">
        <f>Agriculture!B91</f>
        <v>Agricultural pipes (in use)</v>
      </c>
      <c r="C77" s="40" t="str">
        <f>Agriculture!C91</f>
        <v>EU</v>
      </c>
      <c r="D77" s="34" t="str">
        <f>Agriculture!D91</f>
        <v>HDPE</v>
      </c>
      <c r="E77" s="846">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16" s="16" customFormat="1" hidden="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16" s="16" customFormat="1" hidden="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16" s="16" customFormat="1" hidden="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16" s="16" customFormat="1" hidden="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16" s="16" customFormat="1" hidden="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16" hidden="1">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row>
    <row r="84" spans="1:16" hidden="1">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row>
    <row r="85" spans="1:16" hidden="1">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row>
    <row r="86" spans="1:16" hidden="1">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row>
    <row r="87" spans="1:16" hidden="1">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row>
    <row r="88" spans="1:16" hidden="1">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row>
    <row r="89" spans="1:16" hidden="1">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row>
    <row r="90" spans="1:16" hidden="1">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row>
    <row r="91" spans="1:16" hidden="1">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row>
    <row r="92" spans="1:16" hidden="1">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row>
    <row r="93" spans="1:16" hidden="1">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row>
    <row r="94" spans="1:16" hidden="1">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row>
    <row r="95" spans="1:16" hidden="1">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row>
    <row r="96" spans="1:16" hidden="1">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row>
    <row r="97" spans="1:16" hidden="1">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row>
    <row r="98" spans="1:16" hidden="1">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row>
    <row r="99" spans="1:16" hidden="1">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row>
    <row r="100" spans="1:16" hidden="1">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row>
    <row r="101" spans="1:16" hidden="1">
      <c r="A101" s="151" t="s">
        <v>156</v>
      </c>
      <c r="B101" s="34" t="s">
        <v>155</v>
      </c>
      <c r="C101" s="40" t="s">
        <v>139</v>
      </c>
      <c r="D101" s="34" t="s">
        <v>139</v>
      </c>
      <c r="E101" s="257" t="s">
        <v>150</v>
      </c>
      <c r="F101" s="232">
        <v>1</v>
      </c>
      <c r="G101" s="847" t="s">
        <v>157</v>
      </c>
      <c r="H101" s="29">
        <v>1</v>
      </c>
      <c r="I101" s="9">
        <v>1</v>
      </c>
      <c r="J101" s="9">
        <v>1</v>
      </c>
      <c r="K101" s="9">
        <v>3</v>
      </c>
      <c r="L101" s="9">
        <v>3</v>
      </c>
      <c r="M101" s="9">
        <v>3</v>
      </c>
      <c r="N101" s="185">
        <f t="shared" si="8"/>
        <v>1.1181151966036349</v>
      </c>
      <c r="O101" s="159">
        <f t="shared" si="9"/>
        <v>1.1181151966036349</v>
      </c>
      <c r="P101" s="63" t="s">
        <v>158</v>
      </c>
    </row>
    <row r="102" spans="1:16" hidden="1">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row>
    <row r="103" spans="1:16" hidden="1">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row>
    <row r="104" spans="1:16" hidden="1">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row>
    <row r="105" spans="1:16" hidden="1">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row>
    <row r="106" spans="1:16" hidden="1">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row>
    <row r="107" spans="1:16" hidden="1">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row>
    <row r="108" spans="1:16" hidden="1">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row>
    <row r="109" spans="1:16" hidden="1">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row>
    <row r="110" spans="1:16" hidden="1">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row>
    <row r="111" spans="1:16" hidden="1">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row>
    <row r="112" spans="1:16" hidden="1">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row>
    <row r="113" spans="1:16" hidden="1">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row>
    <row r="114" spans="1:16" hidden="1">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row>
    <row r="115" spans="1:16" hidden="1">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row>
    <row r="116" spans="1:16" hidden="1">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row>
    <row r="117" spans="1:16" hidden="1">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row>
    <row r="118" spans="1:16" hidden="1">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row>
    <row r="119" spans="1:16" hidden="1">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row>
    <row r="120" spans="1:16" hidden="1">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row>
    <row r="121" spans="1:16" hidden="1">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row>
    <row r="122" spans="1:16" hidden="1">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row>
    <row r="123" spans="1:16" hidden="1">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row>
    <row r="124" spans="1:16" hidden="1">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row>
    <row r="125" spans="1:16" hidden="1">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row>
    <row r="126" spans="1:16" hidden="1">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row>
    <row r="127" spans="1:16" hidden="1">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row>
    <row r="128" spans="1:16" hidden="1">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row>
    <row r="129" spans="1:16" hidden="1">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row>
    <row r="130" spans="1:16" hidden="1">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row>
    <row r="131" spans="1:16" hidden="1">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row>
    <row r="132" spans="1:16" hidden="1">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row>
    <row r="133" spans="1:16" hidden="1">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row>
    <row r="134" spans="1:16" hidden="1">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row>
    <row r="135" spans="1:16" hidden="1">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row>
    <row r="136" spans="1:16" hidden="1">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row>
    <row r="137" spans="1:16" hidden="1">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row>
    <row r="138" spans="1:16" hidden="1">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row>
    <row r="139" spans="1:16" hidden="1">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row>
    <row r="140" spans="1:16" hidden="1">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row>
    <row r="141" spans="1:16" hidden="1">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row>
    <row r="142" spans="1:16" hidden="1">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row>
    <row r="143" spans="1:16" hidden="1">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row>
    <row r="144" spans="1:16" hidden="1">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row>
    <row r="145" spans="1:16" hidden="1">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row>
    <row r="146" spans="1:16" hidden="1">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row>
    <row r="147" spans="1:16" hidden="1">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row>
    <row r="148" spans="1:16" hidden="1">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row>
    <row r="149" spans="1:16" hidden="1">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row>
    <row r="150" spans="1:16" hidden="1">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row>
    <row r="151" spans="1:16" hidden="1">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row>
    <row r="152" spans="1:16" hidden="1">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row>
    <row r="153" spans="1:16" hidden="1">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row>
    <row r="154" spans="1:16" hidden="1">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row>
    <row r="155" spans="1:16" hidden="1">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row>
    <row r="156" spans="1:16" hidden="1">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row>
    <row r="157" spans="1:16" hidden="1">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row>
    <row r="158" spans="1:16" hidden="1">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row>
    <row r="159" spans="1:16" hidden="1">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row>
    <row r="160" spans="1:16" hidden="1">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row>
    <row r="161" spans="1:16" hidden="1">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row>
    <row r="162" spans="1:16" hidden="1">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row>
    <row r="163" spans="1:16" hidden="1">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row>
    <row r="164" spans="1:16" hidden="1">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row>
    <row r="165" spans="1:16" hidden="1">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row>
    <row r="166" spans="1:16" hidden="1">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row>
    <row r="167" spans="1:16" hidden="1">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row>
    <row r="168" spans="1:16" hidden="1">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row>
    <row r="169" spans="1:16" hidden="1">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row>
    <row r="170" spans="1:16" hidden="1">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row>
    <row r="171" spans="1:16" hidden="1">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row>
    <row r="172" spans="1:16" hidden="1">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row>
    <row r="173" spans="1:16" hidden="1">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row>
    <row r="174" spans="1:16" hidden="1">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row>
    <row r="175" spans="1:16" hidden="1">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row>
    <row r="176" spans="1:16" hidden="1">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row>
    <row r="177" spans="1:16" hidden="1">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row>
    <row r="178" spans="1:16" hidden="1">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row>
    <row r="179" spans="1:16" hidden="1">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8"/>
    </row>
    <row r="180" spans="1:16" hidden="1">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row>
    <row r="181" spans="1:16" hidden="1">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row>
    <row r="182" spans="1:16" hidden="1">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row>
    <row r="183" spans="1:16" hidden="1">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row>
    <row r="184" spans="1:16" hidden="1">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row>
    <row r="185" spans="1:16" hidden="1">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row>
    <row r="186" spans="1:16" hidden="1">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row>
    <row r="187" spans="1:16" hidden="1">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row>
    <row r="188" spans="1:16" hidden="1">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row>
    <row r="189" spans="1:16" hidden="1">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row>
    <row r="190" spans="1:16" hidden="1">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row>
    <row r="191" spans="1:16" hidden="1">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row>
    <row r="192" spans="1:16" hidden="1">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row>
    <row r="193" spans="1:16" hidden="1">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row>
    <row r="194" spans="1:16" hidden="1">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row>
    <row r="195" spans="1:16" hidden="1">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row>
    <row r="196" spans="1:16" hidden="1">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row>
    <row r="197" spans="1:16" hidden="1">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row>
    <row r="198" spans="1:16" hidden="1">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row>
    <row r="199" spans="1:16" hidden="1">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row>
    <row r="200" spans="1:16" hidden="1">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row>
    <row r="201" spans="1:16" hidden="1">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row>
    <row r="202" spans="1:16" hidden="1">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row>
    <row r="203" spans="1:16" hidden="1">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row>
    <row r="204" spans="1:16" hidden="1">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row>
    <row r="205" spans="1:16" hidden="1">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row>
    <row r="206" spans="1:16" hidden="1">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row>
    <row r="207" spans="1:16" hidden="1">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row>
    <row r="208" spans="1:16" hidden="1">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row>
    <row r="209" spans="1:16" hidden="1">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row>
    <row r="210" spans="1:16" hidden="1">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row>
    <row r="211" spans="1:16" hidden="1">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row>
    <row r="212" spans="1:16" hidden="1">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row>
    <row r="213" spans="1:16" hidden="1">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row>
    <row r="214" spans="1:16" hidden="1">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row>
    <row r="215" spans="1:16" hidden="1">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row>
    <row r="216" spans="1:16" hidden="1">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row>
    <row r="217" spans="1:16" hidden="1">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row>
    <row r="218" spans="1:16" hidden="1">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row>
    <row r="219" spans="1:16" hidden="1">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row>
    <row r="220" spans="1:16" hidden="1">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row>
    <row r="221" spans="1:16" hidden="1">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row>
    <row r="222" spans="1:16" hidden="1">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row>
    <row r="223" spans="1:16" hidden="1">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row>
    <row r="224" spans="1:16" hidden="1">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row>
    <row r="225" spans="1:868" hidden="1">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row>
    <row r="226" spans="1:868" hidden="1">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row>
    <row r="227" spans="1:868" hidden="1">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row>
    <row r="228" spans="1:868" hidden="1">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row>
    <row r="229" spans="1:868" hidden="1">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row>
    <row r="230" spans="1:868" hidden="1">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row>
    <row r="231" spans="1:868" hidden="1">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row>
    <row r="232" spans="1:868" hidden="1">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row>
    <row r="233" spans="1:868" hidden="1">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row>
    <row r="234" spans="1:868" hidden="1">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row>
    <row r="235" spans="1:868" hidden="1">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row>
    <row r="236" spans="1:868" hidden="1">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row>
    <row r="237" spans="1:868" hidden="1">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row>
    <row r="238" spans="1:868" s="825" customFormat="1" hidden="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c r="U238" s="824"/>
      <c r="V238" s="824"/>
      <c r="W238" s="824"/>
      <c r="X238" s="824"/>
      <c r="Y238" s="824"/>
      <c r="Z238" s="824"/>
      <c r="AA238" s="824"/>
      <c r="AB238" s="824"/>
      <c r="AC238" s="824"/>
      <c r="AD238" s="824"/>
      <c r="AE238" s="824"/>
      <c r="AF238" s="824"/>
      <c r="AG238" s="824"/>
      <c r="AH238" s="824"/>
      <c r="AI238" s="824"/>
      <c r="AJ238" s="824"/>
      <c r="AK238" s="824"/>
      <c r="AL238" s="824"/>
      <c r="AM238" s="824"/>
      <c r="AN238" s="824"/>
      <c r="AO238" s="824"/>
      <c r="AP238" s="824"/>
      <c r="AQ238" s="824"/>
      <c r="AR238" s="824"/>
      <c r="AS238" s="824"/>
      <c r="AT238" s="824"/>
      <c r="AU238" s="824"/>
      <c r="AV238" s="824"/>
      <c r="AW238" s="824"/>
      <c r="AX238" s="824"/>
      <c r="AY238" s="824"/>
      <c r="AZ238" s="824"/>
      <c r="BA238" s="824"/>
      <c r="BB238" s="824"/>
      <c r="BC238" s="824"/>
      <c r="BD238" s="824"/>
      <c r="BE238" s="824"/>
      <c r="BF238" s="824"/>
      <c r="BG238" s="824"/>
      <c r="BH238" s="824"/>
      <c r="BI238" s="824"/>
      <c r="BJ238" s="824"/>
      <c r="BK238" s="824"/>
      <c r="BL238" s="824"/>
      <c r="BM238" s="824"/>
      <c r="BN238" s="824"/>
      <c r="BO238" s="824"/>
      <c r="BP238" s="824"/>
      <c r="BQ238" s="824"/>
      <c r="BR238" s="824"/>
      <c r="BS238" s="824"/>
      <c r="BT238" s="824"/>
      <c r="BU238" s="824"/>
      <c r="BV238" s="824"/>
      <c r="BW238" s="824"/>
      <c r="BX238" s="824"/>
      <c r="BY238" s="824"/>
      <c r="BZ238" s="824"/>
      <c r="CA238" s="824"/>
      <c r="CB238" s="824"/>
      <c r="CC238" s="824"/>
      <c r="CD238" s="824"/>
      <c r="CE238" s="824"/>
      <c r="CF238" s="824"/>
      <c r="CG238" s="824"/>
      <c r="CH238" s="824"/>
      <c r="CI238" s="824"/>
      <c r="CJ238" s="824"/>
      <c r="CK238" s="824"/>
      <c r="CL238" s="824"/>
      <c r="CM238" s="824"/>
      <c r="CN238" s="824"/>
      <c r="CO238" s="824"/>
      <c r="CP238" s="824"/>
      <c r="CQ238" s="824"/>
      <c r="CR238" s="824"/>
      <c r="CS238" s="824"/>
      <c r="CT238" s="824"/>
      <c r="CU238" s="824"/>
      <c r="CV238" s="824"/>
      <c r="CW238" s="824"/>
      <c r="CX238" s="824"/>
      <c r="CY238" s="824"/>
      <c r="CZ238" s="824"/>
      <c r="DA238" s="824"/>
      <c r="DB238" s="824"/>
      <c r="DC238" s="824"/>
      <c r="DD238" s="824"/>
      <c r="DE238" s="824"/>
      <c r="DF238" s="824"/>
      <c r="DG238" s="824"/>
      <c r="DH238" s="824"/>
      <c r="DI238" s="824"/>
      <c r="DJ238" s="824"/>
      <c r="DK238" s="824"/>
      <c r="DL238" s="824"/>
      <c r="DM238" s="824"/>
      <c r="DN238" s="824"/>
      <c r="DO238" s="824"/>
      <c r="DP238" s="824"/>
      <c r="DQ238" s="824"/>
      <c r="DR238" s="824"/>
      <c r="DS238" s="824"/>
      <c r="DT238" s="824"/>
      <c r="DU238" s="824"/>
      <c r="DV238" s="824"/>
      <c r="DW238" s="824"/>
      <c r="DX238" s="824"/>
      <c r="DY238" s="824"/>
      <c r="DZ238" s="824"/>
      <c r="EA238" s="824"/>
      <c r="EB238" s="824"/>
      <c r="EC238" s="824"/>
      <c r="ED238" s="824"/>
      <c r="EE238" s="824"/>
      <c r="EF238" s="824"/>
      <c r="EG238" s="824"/>
      <c r="EH238" s="824"/>
      <c r="EI238" s="824"/>
      <c r="EJ238" s="824"/>
      <c r="EK238" s="824"/>
      <c r="EL238" s="824"/>
      <c r="EM238" s="824"/>
      <c r="EN238" s="824"/>
      <c r="EO238" s="824"/>
      <c r="EP238" s="824"/>
      <c r="EQ238" s="824"/>
      <c r="ER238" s="824"/>
      <c r="ES238" s="824"/>
      <c r="ET238" s="824"/>
      <c r="EU238" s="824"/>
      <c r="EV238" s="824"/>
      <c r="EW238" s="824"/>
      <c r="EX238" s="824"/>
      <c r="EY238" s="824"/>
      <c r="EZ238" s="824"/>
      <c r="FA238" s="824"/>
      <c r="FB238" s="824"/>
      <c r="FC238" s="824"/>
      <c r="FD238" s="824"/>
      <c r="FE238" s="824"/>
      <c r="FF238" s="824"/>
      <c r="FG238" s="824"/>
      <c r="FH238" s="824"/>
      <c r="FI238" s="824"/>
      <c r="FJ238" s="824"/>
      <c r="FK238" s="824"/>
      <c r="FL238" s="824"/>
      <c r="FM238" s="824"/>
      <c r="FN238" s="824"/>
      <c r="FO238" s="824"/>
      <c r="FP238" s="824"/>
      <c r="FQ238" s="824"/>
      <c r="FR238" s="824"/>
      <c r="FS238" s="824"/>
      <c r="FT238" s="824"/>
      <c r="FU238" s="824"/>
      <c r="FV238" s="824"/>
      <c r="FW238" s="824"/>
      <c r="FX238" s="824"/>
      <c r="FY238" s="824"/>
      <c r="FZ238" s="824"/>
      <c r="GA238" s="824"/>
      <c r="GB238" s="824"/>
      <c r="GC238" s="824"/>
      <c r="GD238" s="824"/>
      <c r="GE238" s="824"/>
      <c r="GF238" s="824"/>
      <c r="GG238" s="824"/>
      <c r="GH238" s="824"/>
      <c r="GI238" s="824"/>
      <c r="GJ238" s="824"/>
      <c r="GK238" s="824"/>
      <c r="GL238" s="824"/>
      <c r="GM238" s="824"/>
      <c r="GN238" s="824"/>
      <c r="GO238" s="824"/>
      <c r="GP238" s="824"/>
      <c r="GQ238" s="824"/>
      <c r="GR238" s="824"/>
      <c r="GS238" s="824"/>
      <c r="GT238" s="824"/>
      <c r="GU238" s="824"/>
      <c r="GV238" s="824"/>
      <c r="GW238" s="824"/>
      <c r="GX238" s="824"/>
      <c r="GY238" s="824"/>
      <c r="GZ238" s="824"/>
      <c r="HA238" s="824"/>
      <c r="HB238" s="824"/>
      <c r="HC238" s="824"/>
      <c r="HD238" s="824"/>
      <c r="HE238" s="824"/>
      <c r="HF238" s="824"/>
      <c r="HG238" s="824"/>
      <c r="HH238" s="824"/>
      <c r="HI238" s="824"/>
      <c r="HJ238" s="824"/>
      <c r="HK238" s="824"/>
      <c r="HL238" s="824"/>
      <c r="HM238" s="824"/>
      <c r="HN238" s="824"/>
      <c r="HO238" s="824"/>
      <c r="HP238" s="824"/>
      <c r="HQ238" s="824"/>
      <c r="HR238" s="824"/>
      <c r="HS238" s="824"/>
      <c r="HT238" s="824"/>
      <c r="HU238" s="824"/>
      <c r="HV238" s="824"/>
      <c r="HW238" s="824"/>
      <c r="HX238" s="824"/>
      <c r="HY238" s="824"/>
      <c r="HZ238" s="824"/>
      <c r="IA238" s="824"/>
      <c r="IB238" s="824"/>
      <c r="IC238" s="824"/>
      <c r="ID238" s="824"/>
      <c r="IE238" s="824"/>
      <c r="IF238" s="824"/>
      <c r="IG238" s="824"/>
      <c r="IH238" s="824"/>
      <c r="II238" s="824"/>
      <c r="IJ238" s="824"/>
      <c r="IK238" s="824"/>
      <c r="IL238" s="824"/>
      <c r="IM238" s="824"/>
      <c r="IN238" s="824"/>
      <c r="IO238" s="824"/>
      <c r="IP238" s="824"/>
      <c r="IQ238" s="824"/>
      <c r="IR238" s="824"/>
      <c r="IS238" s="824"/>
      <c r="IT238" s="824"/>
      <c r="IU238" s="824"/>
      <c r="IV238" s="824"/>
      <c r="IW238" s="824"/>
      <c r="IX238" s="824"/>
      <c r="IY238" s="824"/>
      <c r="IZ238" s="824"/>
      <c r="JA238" s="824"/>
      <c r="JB238" s="824"/>
      <c r="JC238" s="824"/>
      <c r="JD238" s="824"/>
      <c r="JE238" s="824"/>
      <c r="JF238" s="824"/>
      <c r="JG238" s="824"/>
      <c r="JH238" s="824"/>
      <c r="JI238" s="824"/>
      <c r="JJ238" s="824"/>
      <c r="JK238" s="824"/>
      <c r="JL238" s="824"/>
      <c r="JM238" s="824"/>
      <c r="JN238" s="824"/>
      <c r="JO238" s="824"/>
      <c r="JP238" s="824"/>
      <c r="JQ238" s="824"/>
      <c r="JR238" s="824"/>
      <c r="JS238" s="824"/>
      <c r="JT238" s="824"/>
      <c r="JU238" s="824"/>
      <c r="JV238" s="824"/>
      <c r="JW238" s="824"/>
      <c r="JX238" s="824"/>
      <c r="JY238" s="824"/>
      <c r="JZ238" s="824"/>
      <c r="KA238" s="824"/>
      <c r="KB238" s="824"/>
      <c r="KC238" s="824"/>
      <c r="KD238" s="824"/>
      <c r="KE238" s="824"/>
      <c r="KF238" s="824"/>
      <c r="KG238" s="824"/>
      <c r="KH238" s="824"/>
      <c r="KI238" s="824"/>
      <c r="KJ238" s="824"/>
      <c r="KK238" s="824"/>
      <c r="KL238" s="824"/>
      <c r="KM238" s="824"/>
      <c r="KN238" s="824"/>
      <c r="KO238" s="824"/>
      <c r="KP238" s="824"/>
      <c r="KQ238" s="824"/>
      <c r="KR238" s="824"/>
      <c r="KS238" s="824"/>
      <c r="KT238" s="824"/>
      <c r="KU238" s="824"/>
      <c r="KV238" s="824"/>
      <c r="KW238" s="824"/>
      <c r="KX238" s="824"/>
      <c r="KY238" s="824"/>
      <c r="KZ238" s="824"/>
      <c r="LA238" s="824"/>
      <c r="LB238" s="824"/>
      <c r="LC238" s="824"/>
      <c r="LD238" s="824"/>
      <c r="LE238" s="824"/>
      <c r="LF238" s="824"/>
      <c r="LG238" s="824"/>
      <c r="LH238" s="824"/>
      <c r="LI238" s="824"/>
      <c r="LJ238" s="824"/>
      <c r="LK238" s="824"/>
      <c r="LL238" s="824"/>
      <c r="LM238" s="824"/>
      <c r="LN238" s="824"/>
      <c r="LO238" s="824"/>
      <c r="LP238" s="824"/>
      <c r="LQ238" s="824"/>
      <c r="LR238" s="824"/>
      <c r="LS238" s="824"/>
      <c r="LT238" s="824"/>
      <c r="LU238" s="824"/>
      <c r="LV238" s="824"/>
      <c r="LW238" s="824"/>
      <c r="LX238" s="824"/>
      <c r="LY238" s="824"/>
      <c r="LZ238" s="824"/>
      <c r="MA238" s="824"/>
      <c r="MB238" s="824"/>
      <c r="MC238" s="824"/>
      <c r="MD238" s="824"/>
      <c r="ME238" s="824"/>
      <c r="MF238" s="824"/>
      <c r="MG238" s="824"/>
      <c r="MH238" s="824"/>
      <c r="MI238" s="824"/>
      <c r="MJ238" s="824"/>
      <c r="MK238" s="824"/>
      <c r="ML238" s="824"/>
      <c r="MM238" s="824"/>
      <c r="MN238" s="824"/>
      <c r="MO238" s="824"/>
      <c r="MP238" s="824"/>
      <c r="MQ238" s="824"/>
      <c r="MR238" s="824"/>
      <c r="MS238" s="824"/>
      <c r="MT238" s="824"/>
      <c r="MU238" s="824"/>
      <c r="MV238" s="824"/>
      <c r="MW238" s="824"/>
      <c r="MX238" s="824"/>
      <c r="MY238" s="824"/>
      <c r="MZ238" s="824"/>
      <c r="NA238" s="824"/>
      <c r="NB238" s="824"/>
      <c r="NC238" s="824"/>
      <c r="ND238" s="824"/>
      <c r="NE238" s="824"/>
      <c r="NF238" s="824"/>
      <c r="NG238" s="824"/>
      <c r="NH238" s="824"/>
      <c r="NI238" s="824"/>
      <c r="NJ238" s="824"/>
      <c r="NK238" s="824"/>
      <c r="NL238" s="824"/>
      <c r="NM238" s="824"/>
      <c r="NN238" s="824"/>
      <c r="NO238" s="824"/>
      <c r="NP238" s="824"/>
      <c r="NQ238" s="824"/>
      <c r="NR238" s="824"/>
      <c r="NS238" s="824"/>
      <c r="NT238" s="824"/>
      <c r="NU238" s="824"/>
      <c r="NV238" s="824"/>
      <c r="NW238" s="824"/>
      <c r="NX238" s="824"/>
      <c r="NY238" s="824"/>
      <c r="NZ238" s="824"/>
      <c r="OA238" s="824"/>
      <c r="OB238" s="824"/>
      <c r="OC238" s="824"/>
      <c r="OD238" s="824"/>
      <c r="OE238" s="824"/>
      <c r="OF238" s="824"/>
      <c r="OG238" s="824"/>
      <c r="OH238" s="824"/>
      <c r="OI238" s="824"/>
      <c r="OJ238" s="824"/>
      <c r="OK238" s="824"/>
      <c r="OL238" s="824"/>
      <c r="OM238" s="824"/>
      <c r="ON238" s="824"/>
      <c r="OO238" s="824"/>
      <c r="OP238" s="824"/>
      <c r="OQ238" s="824"/>
      <c r="OR238" s="824"/>
      <c r="OS238" s="824"/>
      <c r="OT238" s="824"/>
      <c r="OU238" s="824"/>
      <c r="OV238" s="824"/>
      <c r="OW238" s="824"/>
      <c r="OX238" s="824"/>
      <c r="OY238" s="824"/>
      <c r="OZ238" s="824"/>
      <c r="PA238" s="824"/>
      <c r="PB238" s="824"/>
      <c r="PC238" s="824"/>
      <c r="PD238" s="824"/>
      <c r="PE238" s="824"/>
      <c r="PF238" s="824"/>
      <c r="PG238" s="824"/>
      <c r="PH238" s="824"/>
      <c r="PI238" s="824"/>
      <c r="PJ238" s="824"/>
      <c r="PK238" s="824"/>
      <c r="PL238" s="824"/>
      <c r="PM238" s="824"/>
      <c r="PN238" s="824"/>
      <c r="PO238" s="824"/>
      <c r="PP238" s="824"/>
      <c r="PQ238" s="824"/>
      <c r="PR238" s="824"/>
      <c r="PS238" s="824"/>
      <c r="PT238" s="824"/>
      <c r="PU238" s="824"/>
      <c r="PV238" s="824"/>
      <c r="PW238" s="824"/>
      <c r="PX238" s="824"/>
      <c r="PY238" s="824"/>
      <c r="PZ238" s="824"/>
      <c r="QA238" s="824"/>
      <c r="QB238" s="824"/>
      <c r="QC238" s="824"/>
      <c r="QD238" s="824"/>
      <c r="QE238" s="824"/>
      <c r="QF238" s="824"/>
      <c r="QG238" s="824"/>
      <c r="QH238" s="824"/>
      <c r="QI238" s="824"/>
      <c r="QJ238" s="824"/>
      <c r="QK238" s="824"/>
      <c r="QL238" s="824"/>
      <c r="QM238" s="824"/>
      <c r="QN238" s="824"/>
      <c r="QO238" s="824"/>
      <c r="QP238" s="824"/>
      <c r="QQ238" s="824"/>
      <c r="QR238" s="824"/>
      <c r="QS238" s="824"/>
      <c r="QT238" s="824"/>
      <c r="QU238" s="824"/>
      <c r="QV238" s="824"/>
      <c r="QW238" s="824"/>
      <c r="QX238" s="824"/>
      <c r="QY238" s="824"/>
      <c r="QZ238" s="824"/>
      <c r="RA238" s="824"/>
      <c r="RB238" s="824"/>
      <c r="RC238" s="824"/>
      <c r="RD238" s="824"/>
      <c r="RE238" s="824"/>
      <c r="RF238" s="824"/>
      <c r="RG238" s="824"/>
      <c r="RH238" s="824"/>
      <c r="RI238" s="824"/>
      <c r="RJ238" s="824"/>
      <c r="RK238" s="824"/>
      <c r="RL238" s="824"/>
      <c r="RM238" s="824"/>
      <c r="RN238" s="824"/>
      <c r="RO238" s="824"/>
      <c r="RP238" s="824"/>
      <c r="RQ238" s="824"/>
      <c r="RR238" s="824"/>
      <c r="RS238" s="824"/>
      <c r="RT238" s="824"/>
      <c r="RU238" s="824"/>
      <c r="RV238" s="824"/>
      <c r="RW238" s="824"/>
      <c r="RX238" s="824"/>
      <c r="RY238" s="824"/>
      <c r="RZ238" s="824"/>
      <c r="SA238" s="824"/>
      <c r="SB238" s="824"/>
      <c r="SC238" s="824"/>
      <c r="SD238" s="824"/>
      <c r="SE238" s="824"/>
      <c r="SF238" s="824"/>
      <c r="SG238" s="824"/>
      <c r="SH238" s="824"/>
      <c r="SI238" s="824"/>
      <c r="SJ238" s="824"/>
      <c r="SK238" s="824"/>
      <c r="SL238" s="824"/>
      <c r="SM238" s="824"/>
      <c r="SN238" s="824"/>
      <c r="SO238" s="824"/>
      <c r="SP238" s="824"/>
      <c r="SQ238" s="824"/>
      <c r="SR238" s="824"/>
      <c r="SS238" s="824"/>
      <c r="ST238" s="824"/>
      <c r="SU238" s="824"/>
      <c r="SV238" s="824"/>
      <c r="SW238" s="824"/>
      <c r="SX238" s="824"/>
      <c r="SY238" s="824"/>
      <c r="SZ238" s="824"/>
      <c r="TA238" s="824"/>
      <c r="TB238" s="824"/>
      <c r="TC238" s="824"/>
      <c r="TD238" s="824"/>
      <c r="TE238" s="824"/>
      <c r="TF238" s="824"/>
      <c r="TG238" s="824"/>
      <c r="TH238" s="824"/>
      <c r="TI238" s="824"/>
      <c r="TJ238" s="824"/>
      <c r="TK238" s="824"/>
      <c r="TL238" s="824"/>
      <c r="TM238" s="824"/>
      <c r="TN238" s="824"/>
      <c r="TO238" s="824"/>
      <c r="TP238" s="824"/>
      <c r="TQ238" s="824"/>
      <c r="TR238" s="824"/>
      <c r="TS238" s="824"/>
      <c r="TT238" s="824"/>
      <c r="TU238" s="824"/>
      <c r="TV238" s="824"/>
      <c r="TW238" s="824"/>
      <c r="TX238" s="824"/>
      <c r="TY238" s="824"/>
      <c r="TZ238" s="824"/>
      <c r="UA238" s="824"/>
      <c r="UB238" s="824"/>
      <c r="UC238" s="824"/>
      <c r="UD238" s="824"/>
      <c r="UE238" s="824"/>
      <c r="UF238" s="824"/>
      <c r="UG238" s="824"/>
      <c r="UH238" s="824"/>
      <c r="UI238" s="824"/>
      <c r="UJ238" s="824"/>
      <c r="UK238" s="824"/>
      <c r="UL238" s="824"/>
      <c r="UM238" s="824"/>
      <c r="UN238" s="824"/>
      <c r="UO238" s="824"/>
      <c r="UP238" s="824"/>
      <c r="UQ238" s="824"/>
      <c r="UR238" s="824"/>
      <c r="US238" s="824"/>
      <c r="UT238" s="824"/>
      <c r="UU238" s="824"/>
      <c r="UV238" s="824"/>
      <c r="UW238" s="824"/>
      <c r="UX238" s="824"/>
      <c r="UY238" s="824"/>
      <c r="UZ238" s="824"/>
      <c r="VA238" s="824"/>
      <c r="VB238" s="824"/>
      <c r="VC238" s="824"/>
      <c r="VD238" s="824"/>
      <c r="VE238" s="824"/>
      <c r="VF238" s="824"/>
      <c r="VG238" s="824"/>
      <c r="VH238" s="824"/>
      <c r="VI238" s="824"/>
      <c r="VJ238" s="824"/>
      <c r="VK238" s="824"/>
      <c r="VL238" s="824"/>
      <c r="VM238" s="824"/>
      <c r="VN238" s="824"/>
      <c r="VO238" s="824"/>
      <c r="VP238" s="824"/>
      <c r="VQ238" s="824"/>
      <c r="VR238" s="824"/>
      <c r="VS238" s="824"/>
      <c r="VT238" s="824"/>
      <c r="VU238" s="824"/>
      <c r="VV238" s="824"/>
      <c r="VW238" s="824"/>
      <c r="VX238" s="824"/>
      <c r="VY238" s="824"/>
      <c r="VZ238" s="824"/>
      <c r="WA238" s="824"/>
      <c r="WB238" s="824"/>
      <c r="WC238" s="824"/>
      <c r="WD238" s="824"/>
      <c r="WE238" s="824"/>
      <c r="WF238" s="824"/>
      <c r="WG238" s="824"/>
      <c r="WH238" s="824"/>
      <c r="WI238" s="824"/>
      <c r="WJ238" s="824"/>
      <c r="WK238" s="824"/>
      <c r="WL238" s="824"/>
      <c r="WM238" s="824"/>
      <c r="WN238" s="824"/>
      <c r="WO238" s="824"/>
      <c r="WP238" s="824"/>
      <c r="WQ238" s="824"/>
      <c r="WR238" s="824"/>
      <c r="WS238" s="824"/>
      <c r="WT238" s="824"/>
      <c r="WU238" s="824"/>
      <c r="WV238" s="824"/>
      <c r="WW238" s="824"/>
      <c r="WX238" s="824"/>
      <c r="WY238" s="824"/>
      <c r="WZ238" s="824"/>
      <c r="XA238" s="824"/>
      <c r="XB238" s="824"/>
      <c r="XC238" s="824"/>
      <c r="XD238" s="824"/>
      <c r="XE238" s="824"/>
      <c r="XF238" s="824"/>
      <c r="XG238" s="824"/>
      <c r="XH238" s="824"/>
      <c r="XI238" s="824"/>
      <c r="XJ238" s="824"/>
      <c r="XK238" s="824"/>
      <c r="XL238" s="824"/>
      <c r="XM238" s="824"/>
      <c r="XN238" s="824"/>
      <c r="XO238" s="824"/>
      <c r="XP238" s="824"/>
      <c r="XQ238" s="824"/>
      <c r="XR238" s="824"/>
      <c r="XS238" s="824"/>
      <c r="XT238" s="824"/>
      <c r="XU238" s="824"/>
      <c r="XV238" s="824"/>
      <c r="XW238" s="824"/>
      <c r="XX238" s="824"/>
      <c r="XY238" s="824"/>
      <c r="XZ238" s="824"/>
      <c r="YA238" s="824"/>
      <c r="YB238" s="824"/>
      <c r="YC238" s="824"/>
      <c r="YD238" s="824"/>
      <c r="YE238" s="824"/>
      <c r="YF238" s="824"/>
      <c r="YG238" s="824"/>
      <c r="YH238" s="824"/>
      <c r="YI238" s="824"/>
      <c r="YJ238" s="824"/>
      <c r="YK238" s="824"/>
      <c r="YL238" s="824"/>
      <c r="YM238" s="824"/>
      <c r="YN238" s="824"/>
      <c r="YO238" s="824"/>
      <c r="YP238" s="824"/>
      <c r="YQ238" s="824"/>
      <c r="YR238" s="824"/>
      <c r="YS238" s="824"/>
      <c r="YT238" s="824"/>
      <c r="YU238" s="824"/>
      <c r="YV238" s="824"/>
      <c r="YW238" s="824"/>
      <c r="YX238" s="824"/>
      <c r="YY238" s="824"/>
      <c r="YZ238" s="824"/>
      <c r="ZA238" s="824"/>
      <c r="ZB238" s="824"/>
      <c r="ZC238" s="824"/>
      <c r="ZD238" s="824"/>
      <c r="ZE238" s="824"/>
      <c r="ZF238" s="824"/>
      <c r="ZG238" s="824"/>
      <c r="ZH238" s="824"/>
      <c r="ZI238" s="824"/>
      <c r="ZJ238" s="824"/>
      <c r="ZK238" s="824"/>
      <c r="ZL238" s="824"/>
      <c r="ZM238" s="824"/>
      <c r="ZN238" s="824"/>
      <c r="ZO238" s="824"/>
      <c r="ZP238" s="824"/>
      <c r="ZQ238" s="824"/>
      <c r="ZR238" s="824"/>
      <c r="ZS238" s="824"/>
      <c r="ZT238" s="824"/>
      <c r="ZU238" s="824"/>
      <c r="ZV238" s="824"/>
      <c r="ZW238" s="824"/>
      <c r="ZX238" s="824"/>
      <c r="ZY238" s="824"/>
      <c r="ZZ238" s="824"/>
      <c r="AAA238" s="824"/>
      <c r="AAB238" s="824"/>
      <c r="AAC238" s="824"/>
      <c r="AAD238" s="824"/>
      <c r="AAE238" s="824"/>
      <c r="AAF238" s="824"/>
      <c r="AAG238" s="824"/>
      <c r="AAH238" s="824"/>
      <c r="AAI238" s="824"/>
      <c r="AAJ238" s="824"/>
      <c r="AAK238" s="824"/>
      <c r="AAL238" s="824"/>
      <c r="AAM238" s="824"/>
      <c r="AAN238" s="824"/>
      <c r="AAO238" s="824"/>
      <c r="AAP238" s="824"/>
      <c r="AAQ238" s="824"/>
      <c r="AAR238" s="824"/>
      <c r="AAS238" s="824"/>
      <c r="AAT238" s="824"/>
      <c r="AAU238" s="824"/>
      <c r="AAV238" s="824"/>
      <c r="AAW238" s="824"/>
      <c r="AAX238" s="824"/>
      <c r="AAY238" s="824"/>
      <c r="AAZ238" s="824"/>
      <c r="ABA238" s="824"/>
      <c r="ABB238" s="824"/>
      <c r="ABC238" s="824"/>
      <c r="ABD238" s="824"/>
      <c r="ABE238" s="824"/>
      <c r="ABF238" s="824"/>
      <c r="ABG238" s="824"/>
      <c r="ABH238" s="824"/>
      <c r="ABI238" s="824"/>
      <c r="ABJ238" s="824"/>
      <c r="ABK238" s="824"/>
      <c r="ABL238" s="824"/>
      <c r="ABM238" s="824"/>
      <c r="ABN238" s="824"/>
      <c r="ABO238" s="824"/>
      <c r="ABP238" s="824"/>
      <c r="ABQ238" s="824"/>
      <c r="ABR238" s="824"/>
      <c r="ABS238" s="824"/>
      <c r="ABT238" s="824"/>
      <c r="ABU238" s="824"/>
      <c r="ABV238" s="824"/>
      <c r="ABW238" s="824"/>
      <c r="ABX238" s="824"/>
      <c r="ABY238" s="824"/>
      <c r="ABZ238" s="824"/>
      <c r="ACA238" s="824"/>
      <c r="ACB238" s="824"/>
      <c r="ACC238" s="824"/>
      <c r="ACD238" s="824"/>
      <c r="ACE238" s="824"/>
      <c r="ACF238" s="824"/>
      <c r="ACG238" s="824"/>
      <c r="ACH238" s="824"/>
      <c r="ACI238" s="824"/>
      <c r="ACJ238" s="824"/>
      <c r="ACK238" s="824"/>
      <c r="ACL238" s="824"/>
      <c r="ACM238" s="824"/>
      <c r="ACN238" s="824"/>
      <c r="ACO238" s="824"/>
      <c r="ACP238" s="824"/>
      <c r="ACQ238" s="824"/>
      <c r="ACR238" s="824"/>
      <c r="ACS238" s="824"/>
      <c r="ACT238" s="824"/>
      <c r="ACU238" s="824"/>
      <c r="ACV238" s="824"/>
      <c r="ACW238" s="824"/>
      <c r="ACX238" s="824"/>
      <c r="ACY238" s="824"/>
      <c r="ACZ238" s="824"/>
      <c r="ADA238" s="824"/>
      <c r="ADB238" s="824"/>
      <c r="ADC238" s="824"/>
      <c r="ADD238" s="824"/>
      <c r="ADE238" s="824"/>
      <c r="ADF238" s="824"/>
      <c r="ADG238" s="824"/>
      <c r="ADH238" s="824"/>
      <c r="ADI238" s="824"/>
      <c r="ADJ238" s="824"/>
      <c r="ADK238" s="824"/>
      <c r="ADL238" s="824"/>
      <c r="ADM238" s="824"/>
      <c r="ADN238" s="824"/>
      <c r="ADO238" s="824"/>
      <c r="ADP238" s="824"/>
      <c r="ADQ238" s="824"/>
      <c r="ADR238" s="824"/>
      <c r="ADS238" s="824"/>
      <c r="ADT238" s="824"/>
      <c r="ADU238" s="824"/>
      <c r="ADV238" s="824"/>
      <c r="ADW238" s="824"/>
      <c r="ADX238" s="824"/>
      <c r="ADY238" s="824"/>
      <c r="ADZ238" s="824"/>
      <c r="AEA238" s="824"/>
      <c r="AEB238" s="824"/>
      <c r="AEC238" s="824"/>
      <c r="AED238" s="824"/>
      <c r="AEE238" s="824"/>
      <c r="AEF238" s="824"/>
      <c r="AEG238" s="824"/>
      <c r="AEH238" s="824"/>
      <c r="AEI238" s="824"/>
      <c r="AEJ238" s="824"/>
      <c r="AEK238" s="824"/>
      <c r="AEL238" s="824"/>
      <c r="AEM238" s="824"/>
      <c r="AEN238" s="824"/>
      <c r="AEO238" s="824"/>
      <c r="AEP238" s="824"/>
      <c r="AEQ238" s="824"/>
      <c r="AER238" s="824"/>
      <c r="AES238" s="824"/>
      <c r="AET238" s="824"/>
      <c r="AEU238" s="824"/>
      <c r="AEV238" s="824"/>
      <c r="AEW238" s="824"/>
      <c r="AEX238" s="824"/>
      <c r="AEY238" s="824"/>
      <c r="AEZ238" s="824"/>
      <c r="AFA238" s="824"/>
      <c r="AFB238" s="824"/>
      <c r="AFC238" s="824"/>
      <c r="AFD238" s="824"/>
      <c r="AFE238" s="824"/>
      <c r="AFF238" s="824"/>
      <c r="AFG238" s="824"/>
      <c r="AFH238" s="824"/>
      <c r="AFI238" s="824"/>
      <c r="AFJ238" s="824"/>
      <c r="AFK238" s="824"/>
      <c r="AFL238" s="824"/>
      <c r="AFM238" s="824"/>
      <c r="AFN238" s="824"/>
      <c r="AFO238" s="824"/>
      <c r="AFP238" s="824"/>
      <c r="AFQ238" s="824"/>
      <c r="AFR238" s="824"/>
      <c r="AFS238" s="824"/>
      <c r="AFT238" s="824"/>
      <c r="AFU238" s="824"/>
      <c r="AFV238" s="824"/>
      <c r="AFW238" s="824"/>
      <c r="AFX238" s="824"/>
      <c r="AFY238" s="824"/>
      <c r="AFZ238" s="824"/>
      <c r="AGA238" s="824"/>
      <c r="AGB238" s="824"/>
      <c r="AGC238" s="824"/>
      <c r="AGD238" s="824"/>
      <c r="AGE238" s="824"/>
      <c r="AGF238" s="824"/>
      <c r="AGG238" s="824"/>
      <c r="AGH238" s="824"/>
      <c r="AGI238" s="824"/>
      <c r="AGJ238" s="824"/>
    </row>
    <row r="239" spans="1:868" s="825" customFormat="1" hidden="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c r="U239" s="824"/>
      <c r="V239" s="824"/>
      <c r="W239" s="824"/>
      <c r="X239" s="824"/>
      <c r="Y239" s="824"/>
      <c r="Z239" s="824"/>
      <c r="AA239" s="824"/>
      <c r="AB239" s="824"/>
      <c r="AC239" s="824"/>
      <c r="AD239" s="824"/>
      <c r="AE239" s="824"/>
      <c r="AF239" s="824"/>
      <c r="AG239" s="824"/>
      <c r="AH239" s="824"/>
      <c r="AI239" s="824"/>
      <c r="AJ239" s="824"/>
      <c r="AK239" s="824"/>
      <c r="AL239" s="824"/>
      <c r="AM239" s="824"/>
      <c r="AN239" s="824"/>
      <c r="AO239" s="824"/>
      <c r="AP239" s="824"/>
      <c r="AQ239" s="824"/>
      <c r="AR239" s="824"/>
      <c r="AS239" s="824"/>
      <c r="AT239" s="824"/>
      <c r="AU239" s="824"/>
      <c r="AV239" s="824"/>
      <c r="AW239" s="824"/>
      <c r="AX239" s="824"/>
      <c r="AY239" s="824"/>
      <c r="AZ239" s="824"/>
      <c r="BA239" s="824"/>
      <c r="BB239" s="824"/>
      <c r="BC239" s="824"/>
      <c r="BD239" s="824"/>
      <c r="BE239" s="824"/>
      <c r="BF239" s="824"/>
      <c r="BG239" s="824"/>
      <c r="BH239" s="824"/>
      <c r="BI239" s="824"/>
      <c r="BJ239" s="824"/>
      <c r="BK239" s="824"/>
      <c r="BL239" s="824"/>
      <c r="BM239" s="824"/>
      <c r="BN239" s="824"/>
      <c r="BO239" s="824"/>
      <c r="BP239" s="824"/>
      <c r="BQ239" s="824"/>
      <c r="BR239" s="824"/>
      <c r="BS239" s="824"/>
      <c r="BT239" s="824"/>
      <c r="BU239" s="824"/>
      <c r="BV239" s="824"/>
      <c r="BW239" s="824"/>
      <c r="BX239" s="824"/>
      <c r="BY239" s="824"/>
      <c r="BZ239" s="824"/>
      <c r="CA239" s="824"/>
      <c r="CB239" s="824"/>
      <c r="CC239" s="824"/>
      <c r="CD239" s="824"/>
      <c r="CE239" s="824"/>
      <c r="CF239" s="824"/>
      <c r="CG239" s="824"/>
      <c r="CH239" s="824"/>
      <c r="CI239" s="824"/>
      <c r="CJ239" s="824"/>
      <c r="CK239" s="824"/>
      <c r="CL239" s="824"/>
      <c r="CM239" s="824"/>
      <c r="CN239" s="824"/>
      <c r="CO239" s="824"/>
      <c r="CP239" s="824"/>
      <c r="CQ239" s="824"/>
      <c r="CR239" s="824"/>
      <c r="CS239" s="824"/>
      <c r="CT239" s="824"/>
      <c r="CU239" s="824"/>
      <c r="CV239" s="824"/>
      <c r="CW239" s="824"/>
      <c r="CX239" s="824"/>
      <c r="CY239" s="824"/>
      <c r="CZ239" s="824"/>
      <c r="DA239" s="824"/>
      <c r="DB239" s="824"/>
      <c r="DC239" s="824"/>
      <c r="DD239" s="824"/>
      <c r="DE239" s="824"/>
      <c r="DF239" s="824"/>
      <c r="DG239" s="824"/>
      <c r="DH239" s="824"/>
      <c r="DI239" s="824"/>
      <c r="DJ239" s="824"/>
      <c r="DK239" s="824"/>
      <c r="DL239" s="824"/>
      <c r="DM239" s="824"/>
      <c r="DN239" s="824"/>
      <c r="DO239" s="824"/>
      <c r="DP239" s="824"/>
      <c r="DQ239" s="824"/>
      <c r="DR239" s="824"/>
      <c r="DS239" s="824"/>
      <c r="DT239" s="824"/>
      <c r="DU239" s="824"/>
      <c r="DV239" s="824"/>
      <c r="DW239" s="824"/>
      <c r="DX239" s="824"/>
      <c r="DY239" s="824"/>
      <c r="DZ239" s="824"/>
      <c r="EA239" s="824"/>
      <c r="EB239" s="824"/>
      <c r="EC239" s="824"/>
      <c r="ED239" s="824"/>
      <c r="EE239" s="824"/>
      <c r="EF239" s="824"/>
      <c r="EG239" s="824"/>
      <c r="EH239" s="824"/>
      <c r="EI239" s="824"/>
      <c r="EJ239" s="824"/>
      <c r="EK239" s="824"/>
      <c r="EL239" s="824"/>
      <c r="EM239" s="824"/>
      <c r="EN239" s="824"/>
      <c r="EO239" s="824"/>
      <c r="EP239" s="824"/>
      <c r="EQ239" s="824"/>
      <c r="ER239" s="824"/>
      <c r="ES239" s="824"/>
      <c r="ET239" s="824"/>
      <c r="EU239" s="824"/>
      <c r="EV239" s="824"/>
      <c r="EW239" s="824"/>
      <c r="EX239" s="824"/>
      <c r="EY239" s="824"/>
      <c r="EZ239" s="824"/>
      <c r="FA239" s="824"/>
      <c r="FB239" s="824"/>
      <c r="FC239" s="824"/>
      <c r="FD239" s="824"/>
      <c r="FE239" s="824"/>
      <c r="FF239" s="824"/>
      <c r="FG239" s="824"/>
      <c r="FH239" s="824"/>
      <c r="FI239" s="824"/>
      <c r="FJ239" s="824"/>
      <c r="FK239" s="824"/>
      <c r="FL239" s="824"/>
      <c r="FM239" s="824"/>
      <c r="FN239" s="824"/>
      <c r="FO239" s="824"/>
      <c r="FP239" s="824"/>
      <c r="FQ239" s="824"/>
      <c r="FR239" s="824"/>
      <c r="FS239" s="824"/>
      <c r="FT239" s="824"/>
      <c r="FU239" s="824"/>
      <c r="FV239" s="824"/>
      <c r="FW239" s="824"/>
      <c r="FX239" s="824"/>
      <c r="FY239" s="824"/>
      <c r="FZ239" s="824"/>
      <c r="GA239" s="824"/>
      <c r="GB239" s="824"/>
      <c r="GC239" s="824"/>
      <c r="GD239" s="824"/>
      <c r="GE239" s="824"/>
      <c r="GF239" s="824"/>
      <c r="GG239" s="824"/>
      <c r="GH239" s="824"/>
      <c r="GI239" s="824"/>
      <c r="GJ239" s="824"/>
      <c r="GK239" s="824"/>
      <c r="GL239" s="824"/>
      <c r="GM239" s="824"/>
      <c r="GN239" s="824"/>
      <c r="GO239" s="824"/>
      <c r="GP239" s="824"/>
      <c r="GQ239" s="824"/>
      <c r="GR239" s="824"/>
      <c r="GS239" s="824"/>
      <c r="GT239" s="824"/>
      <c r="GU239" s="824"/>
      <c r="GV239" s="824"/>
      <c r="GW239" s="824"/>
      <c r="GX239" s="824"/>
      <c r="GY239" s="824"/>
      <c r="GZ239" s="824"/>
      <c r="HA239" s="824"/>
      <c r="HB239" s="824"/>
      <c r="HC239" s="824"/>
      <c r="HD239" s="824"/>
      <c r="HE239" s="824"/>
      <c r="HF239" s="824"/>
      <c r="HG239" s="824"/>
      <c r="HH239" s="824"/>
      <c r="HI239" s="824"/>
      <c r="HJ239" s="824"/>
      <c r="HK239" s="824"/>
      <c r="HL239" s="824"/>
      <c r="HM239" s="824"/>
      <c r="HN239" s="824"/>
      <c r="HO239" s="824"/>
      <c r="HP239" s="824"/>
      <c r="HQ239" s="824"/>
      <c r="HR239" s="824"/>
      <c r="HS239" s="824"/>
      <c r="HT239" s="824"/>
      <c r="HU239" s="824"/>
      <c r="HV239" s="824"/>
      <c r="HW239" s="824"/>
      <c r="HX239" s="824"/>
      <c r="HY239" s="824"/>
      <c r="HZ239" s="824"/>
      <c r="IA239" s="824"/>
      <c r="IB239" s="824"/>
      <c r="IC239" s="824"/>
      <c r="ID239" s="824"/>
      <c r="IE239" s="824"/>
      <c r="IF239" s="824"/>
      <c r="IG239" s="824"/>
      <c r="IH239" s="824"/>
      <c r="II239" s="824"/>
      <c r="IJ239" s="824"/>
      <c r="IK239" s="824"/>
      <c r="IL239" s="824"/>
      <c r="IM239" s="824"/>
      <c r="IN239" s="824"/>
      <c r="IO239" s="824"/>
      <c r="IP239" s="824"/>
      <c r="IQ239" s="824"/>
      <c r="IR239" s="824"/>
      <c r="IS239" s="824"/>
      <c r="IT239" s="824"/>
      <c r="IU239" s="824"/>
      <c r="IV239" s="824"/>
      <c r="IW239" s="824"/>
      <c r="IX239" s="824"/>
      <c r="IY239" s="824"/>
      <c r="IZ239" s="824"/>
      <c r="JA239" s="824"/>
      <c r="JB239" s="824"/>
      <c r="JC239" s="824"/>
      <c r="JD239" s="824"/>
      <c r="JE239" s="824"/>
      <c r="JF239" s="824"/>
      <c r="JG239" s="824"/>
      <c r="JH239" s="824"/>
      <c r="JI239" s="824"/>
      <c r="JJ239" s="824"/>
      <c r="JK239" s="824"/>
      <c r="JL239" s="824"/>
      <c r="JM239" s="824"/>
      <c r="JN239" s="824"/>
      <c r="JO239" s="824"/>
      <c r="JP239" s="824"/>
      <c r="JQ239" s="824"/>
      <c r="JR239" s="824"/>
      <c r="JS239" s="824"/>
      <c r="JT239" s="824"/>
      <c r="JU239" s="824"/>
      <c r="JV239" s="824"/>
      <c r="JW239" s="824"/>
      <c r="JX239" s="824"/>
      <c r="JY239" s="824"/>
      <c r="JZ239" s="824"/>
      <c r="KA239" s="824"/>
      <c r="KB239" s="824"/>
      <c r="KC239" s="824"/>
      <c r="KD239" s="824"/>
      <c r="KE239" s="824"/>
      <c r="KF239" s="824"/>
      <c r="KG239" s="824"/>
      <c r="KH239" s="824"/>
      <c r="KI239" s="824"/>
      <c r="KJ239" s="824"/>
      <c r="KK239" s="824"/>
      <c r="KL239" s="824"/>
      <c r="KM239" s="824"/>
      <c r="KN239" s="824"/>
      <c r="KO239" s="824"/>
      <c r="KP239" s="824"/>
      <c r="KQ239" s="824"/>
      <c r="KR239" s="824"/>
      <c r="KS239" s="824"/>
      <c r="KT239" s="824"/>
      <c r="KU239" s="824"/>
      <c r="KV239" s="824"/>
      <c r="KW239" s="824"/>
      <c r="KX239" s="824"/>
      <c r="KY239" s="824"/>
      <c r="KZ239" s="824"/>
      <c r="LA239" s="824"/>
      <c r="LB239" s="824"/>
      <c r="LC239" s="824"/>
      <c r="LD239" s="824"/>
      <c r="LE239" s="824"/>
      <c r="LF239" s="824"/>
      <c r="LG239" s="824"/>
      <c r="LH239" s="824"/>
      <c r="LI239" s="824"/>
      <c r="LJ239" s="824"/>
      <c r="LK239" s="824"/>
      <c r="LL239" s="824"/>
      <c r="LM239" s="824"/>
      <c r="LN239" s="824"/>
      <c r="LO239" s="824"/>
      <c r="LP239" s="824"/>
      <c r="LQ239" s="824"/>
      <c r="LR239" s="824"/>
      <c r="LS239" s="824"/>
      <c r="LT239" s="824"/>
      <c r="LU239" s="824"/>
      <c r="LV239" s="824"/>
      <c r="LW239" s="824"/>
      <c r="LX239" s="824"/>
      <c r="LY239" s="824"/>
      <c r="LZ239" s="824"/>
      <c r="MA239" s="824"/>
      <c r="MB239" s="824"/>
      <c r="MC239" s="824"/>
      <c r="MD239" s="824"/>
      <c r="ME239" s="824"/>
      <c r="MF239" s="824"/>
      <c r="MG239" s="824"/>
      <c r="MH239" s="824"/>
      <c r="MI239" s="824"/>
      <c r="MJ239" s="824"/>
      <c r="MK239" s="824"/>
      <c r="ML239" s="824"/>
      <c r="MM239" s="824"/>
      <c r="MN239" s="824"/>
      <c r="MO239" s="824"/>
      <c r="MP239" s="824"/>
      <c r="MQ239" s="824"/>
      <c r="MR239" s="824"/>
      <c r="MS239" s="824"/>
      <c r="MT239" s="824"/>
      <c r="MU239" s="824"/>
      <c r="MV239" s="824"/>
      <c r="MW239" s="824"/>
      <c r="MX239" s="824"/>
      <c r="MY239" s="824"/>
      <c r="MZ239" s="824"/>
      <c r="NA239" s="824"/>
      <c r="NB239" s="824"/>
      <c r="NC239" s="824"/>
      <c r="ND239" s="824"/>
      <c r="NE239" s="824"/>
      <c r="NF239" s="824"/>
      <c r="NG239" s="824"/>
      <c r="NH239" s="824"/>
      <c r="NI239" s="824"/>
      <c r="NJ239" s="824"/>
      <c r="NK239" s="824"/>
      <c r="NL239" s="824"/>
      <c r="NM239" s="824"/>
      <c r="NN239" s="824"/>
      <c r="NO239" s="824"/>
      <c r="NP239" s="824"/>
      <c r="NQ239" s="824"/>
      <c r="NR239" s="824"/>
      <c r="NS239" s="824"/>
      <c r="NT239" s="824"/>
      <c r="NU239" s="824"/>
      <c r="NV239" s="824"/>
      <c r="NW239" s="824"/>
      <c r="NX239" s="824"/>
      <c r="NY239" s="824"/>
      <c r="NZ239" s="824"/>
      <c r="OA239" s="824"/>
      <c r="OB239" s="824"/>
      <c r="OC239" s="824"/>
      <c r="OD239" s="824"/>
      <c r="OE239" s="824"/>
      <c r="OF239" s="824"/>
      <c r="OG239" s="824"/>
      <c r="OH239" s="824"/>
      <c r="OI239" s="824"/>
      <c r="OJ239" s="824"/>
      <c r="OK239" s="824"/>
      <c r="OL239" s="824"/>
      <c r="OM239" s="824"/>
      <c r="ON239" s="824"/>
      <c r="OO239" s="824"/>
      <c r="OP239" s="824"/>
      <c r="OQ239" s="824"/>
      <c r="OR239" s="824"/>
      <c r="OS239" s="824"/>
      <c r="OT239" s="824"/>
      <c r="OU239" s="824"/>
      <c r="OV239" s="824"/>
      <c r="OW239" s="824"/>
      <c r="OX239" s="824"/>
      <c r="OY239" s="824"/>
      <c r="OZ239" s="824"/>
      <c r="PA239" s="824"/>
      <c r="PB239" s="824"/>
      <c r="PC239" s="824"/>
      <c r="PD239" s="824"/>
      <c r="PE239" s="824"/>
      <c r="PF239" s="824"/>
      <c r="PG239" s="824"/>
      <c r="PH239" s="824"/>
      <c r="PI239" s="824"/>
      <c r="PJ239" s="824"/>
      <c r="PK239" s="824"/>
      <c r="PL239" s="824"/>
      <c r="PM239" s="824"/>
      <c r="PN239" s="824"/>
      <c r="PO239" s="824"/>
      <c r="PP239" s="824"/>
      <c r="PQ239" s="824"/>
      <c r="PR239" s="824"/>
      <c r="PS239" s="824"/>
      <c r="PT239" s="824"/>
      <c r="PU239" s="824"/>
      <c r="PV239" s="824"/>
      <c r="PW239" s="824"/>
      <c r="PX239" s="824"/>
      <c r="PY239" s="824"/>
      <c r="PZ239" s="824"/>
      <c r="QA239" s="824"/>
      <c r="QB239" s="824"/>
      <c r="QC239" s="824"/>
      <c r="QD239" s="824"/>
      <c r="QE239" s="824"/>
      <c r="QF239" s="824"/>
      <c r="QG239" s="824"/>
      <c r="QH239" s="824"/>
      <c r="QI239" s="824"/>
      <c r="QJ239" s="824"/>
      <c r="QK239" s="824"/>
      <c r="QL239" s="824"/>
      <c r="QM239" s="824"/>
      <c r="QN239" s="824"/>
      <c r="QO239" s="824"/>
      <c r="QP239" s="824"/>
      <c r="QQ239" s="824"/>
      <c r="QR239" s="824"/>
      <c r="QS239" s="824"/>
      <c r="QT239" s="824"/>
      <c r="QU239" s="824"/>
      <c r="QV239" s="824"/>
      <c r="QW239" s="824"/>
      <c r="QX239" s="824"/>
      <c r="QY239" s="824"/>
      <c r="QZ239" s="824"/>
      <c r="RA239" s="824"/>
      <c r="RB239" s="824"/>
      <c r="RC239" s="824"/>
      <c r="RD239" s="824"/>
      <c r="RE239" s="824"/>
      <c r="RF239" s="824"/>
      <c r="RG239" s="824"/>
      <c r="RH239" s="824"/>
      <c r="RI239" s="824"/>
      <c r="RJ239" s="824"/>
      <c r="RK239" s="824"/>
      <c r="RL239" s="824"/>
      <c r="RM239" s="824"/>
      <c r="RN239" s="824"/>
      <c r="RO239" s="824"/>
      <c r="RP239" s="824"/>
      <c r="RQ239" s="824"/>
      <c r="RR239" s="824"/>
      <c r="RS239" s="824"/>
      <c r="RT239" s="824"/>
      <c r="RU239" s="824"/>
      <c r="RV239" s="824"/>
      <c r="RW239" s="824"/>
      <c r="RX239" s="824"/>
      <c r="RY239" s="824"/>
      <c r="RZ239" s="824"/>
      <c r="SA239" s="824"/>
      <c r="SB239" s="824"/>
      <c r="SC239" s="824"/>
      <c r="SD239" s="824"/>
      <c r="SE239" s="824"/>
      <c r="SF239" s="824"/>
      <c r="SG239" s="824"/>
      <c r="SH239" s="824"/>
      <c r="SI239" s="824"/>
      <c r="SJ239" s="824"/>
      <c r="SK239" s="824"/>
      <c r="SL239" s="824"/>
      <c r="SM239" s="824"/>
      <c r="SN239" s="824"/>
      <c r="SO239" s="824"/>
      <c r="SP239" s="824"/>
      <c r="SQ239" s="824"/>
      <c r="SR239" s="824"/>
      <c r="SS239" s="824"/>
      <c r="ST239" s="824"/>
      <c r="SU239" s="824"/>
      <c r="SV239" s="824"/>
      <c r="SW239" s="824"/>
      <c r="SX239" s="824"/>
      <c r="SY239" s="824"/>
      <c r="SZ239" s="824"/>
      <c r="TA239" s="824"/>
      <c r="TB239" s="824"/>
      <c r="TC239" s="824"/>
      <c r="TD239" s="824"/>
      <c r="TE239" s="824"/>
      <c r="TF239" s="824"/>
      <c r="TG239" s="824"/>
      <c r="TH239" s="824"/>
      <c r="TI239" s="824"/>
      <c r="TJ239" s="824"/>
      <c r="TK239" s="824"/>
      <c r="TL239" s="824"/>
      <c r="TM239" s="824"/>
      <c r="TN239" s="824"/>
      <c r="TO239" s="824"/>
      <c r="TP239" s="824"/>
      <c r="TQ239" s="824"/>
      <c r="TR239" s="824"/>
      <c r="TS239" s="824"/>
      <c r="TT239" s="824"/>
      <c r="TU239" s="824"/>
      <c r="TV239" s="824"/>
      <c r="TW239" s="824"/>
      <c r="TX239" s="824"/>
      <c r="TY239" s="824"/>
      <c r="TZ239" s="824"/>
      <c r="UA239" s="824"/>
      <c r="UB239" s="824"/>
      <c r="UC239" s="824"/>
      <c r="UD239" s="824"/>
      <c r="UE239" s="824"/>
      <c r="UF239" s="824"/>
      <c r="UG239" s="824"/>
      <c r="UH239" s="824"/>
      <c r="UI239" s="824"/>
      <c r="UJ239" s="824"/>
      <c r="UK239" s="824"/>
      <c r="UL239" s="824"/>
      <c r="UM239" s="824"/>
      <c r="UN239" s="824"/>
      <c r="UO239" s="824"/>
      <c r="UP239" s="824"/>
      <c r="UQ239" s="824"/>
      <c r="UR239" s="824"/>
      <c r="US239" s="824"/>
      <c r="UT239" s="824"/>
      <c r="UU239" s="824"/>
      <c r="UV239" s="824"/>
      <c r="UW239" s="824"/>
      <c r="UX239" s="824"/>
      <c r="UY239" s="824"/>
      <c r="UZ239" s="824"/>
      <c r="VA239" s="824"/>
      <c r="VB239" s="824"/>
      <c r="VC239" s="824"/>
      <c r="VD239" s="824"/>
      <c r="VE239" s="824"/>
      <c r="VF239" s="824"/>
      <c r="VG239" s="824"/>
      <c r="VH239" s="824"/>
      <c r="VI239" s="824"/>
      <c r="VJ239" s="824"/>
      <c r="VK239" s="824"/>
      <c r="VL239" s="824"/>
      <c r="VM239" s="824"/>
      <c r="VN239" s="824"/>
      <c r="VO239" s="824"/>
      <c r="VP239" s="824"/>
      <c r="VQ239" s="824"/>
      <c r="VR239" s="824"/>
      <c r="VS239" s="824"/>
      <c r="VT239" s="824"/>
      <c r="VU239" s="824"/>
      <c r="VV239" s="824"/>
      <c r="VW239" s="824"/>
      <c r="VX239" s="824"/>
      <c r="VY239" s="824"/>
      <c r="VZ239" s="824"/>
      <c r="WA239" s="824"/>
      <c r="WB239" s="824"/>
      <c r="WC239" s="824"/>
      <c r="WD239" s="824"/>
      <c r="WE239" s="824"/>
      <c r="WF239" s="824"/>
      <c r="WG239" s="824"/>
      <c r="WH239" s="824"/>
      <c r="WI239" s="824"/>
      <c r="WJ239" s="824"/>
      <c r="WK239" s="824"/>
      <c r="WL239" s="824"/>
      <c r="WM239" s="824"/>
      <c r="WN239" s="824"/>
      <c r="WO239" s="824"/>
      <c r="WP239" s="824"/>
      <c r="WQ239" s="824"/>
      <c r="WR239" s="824"/>
      <c r="WS239" s="824"/>
      <c r="WT239" s="824"/>
      <c r="WU239" s="824"/>
      <c r="WV239" s="824"/>
      <c r="WW239" s="824"/>
      <c r="WX239" s="824"/>
      <c r="WY239" s="824"/>
      <c r="WZ239" s="824"/>
      <c r="XA239" s="824"/>
      <c r="XB239" s="824"/>
      <c r="XC239" s="824"/>
      <c r="XD239" s="824"/>
      <c r="XE239" s="824"/>
      <c r="XF239" s="824"/>
      <c r="XG239" s="824"/>
      <c r="XH239" s="824"/>
      <c r="XI239" s="824"/>
      <c r="XJ239" s="824"/>
      <c r="XK239" s="824"/>
      <c r="XL239" s="824"/>
      <c r="XM239" s="824"/>
      <c r="XN239" s="824"/>
      <c r="XO239" s="824"/>
      <c r="XP239" s="824"/>
      <c r="XQ239" s="824"/>
      <c r="XR239" s="824"/>
      <c r="XS239" s="824"/>
      <c r="XT239" s="824"/>
      <c r="XU239" s="824"/>
      <c r="XV239" s="824"/>
      <c r="XW239" s="824"/>
      <c r="XX239" s="824"/>
      <c r="XY239" s="824"/>
      <c r="XZ239" s="824"/>
      <c r="YA239" s="824"/>
      <c r="YB239" s="824"/>
      <c r="YC239" s="824"/>
      <c r="YD239" s="824"/>
      <c r="YE239" s="824"/>
      <c r="YF239" s="824"/>
      <c r="YG239" s="824"/>
      <c r="YH239" s="824"/>
      <c r="YI239" s="824"/>
      <c r="YJ239" s="824"/>
      <c r="YK239" s="824"/>
      <c r="YL239" s="824"/>
      <c r="YM239" s="824"/>
      <c r="YN239" s="824"/>
      <c r="YO239" s="824"/>
      <c r="YP239" s="824"/>
      <c r="YQ239" s="824"/>
      <c r="YR239" s="824"/>
      <c r="YS239" s="824"/>
      <c r="YT239" s="824"/>
      <c r="YU239" s="824"/>
      <c r="YV239" s="824"/>
      <c r="YW239" s="824"/>
      <c r="YX239" s="824"/>
      <c r="YY239" s="824"/>
      <c r="YZ239" s="824"/>
      <c r="ZA239" s="824"/>
      <c r="ZB239" s="824"/>
      <c r="ZC239" s="824"/>
      <c r="ZD239" s="824"/>
      <c r="ZE239" s="824"/>
      <c r="ZF239" s="824"/>
      <c r="ZG239" s="824"/>
      <c r="ZH239" s="824"/>
      <c r="ZI239" s="824"/>
      <c r="ZJ239" s="824"/>
      <c r="ZK239" s="824"/>
      <c r="ZL239" s="824"/>
      <c r="ZM239" s="824"/>
      <c r="ZN239" s="824"/>
      <c r="ZO239" s="824"/>
      <c r="ZP239" s="824"/>
      <c r="ZQ239" s="824"/>
      <c r="ZR239" s="824"/>
      <c r="ZS239" s="824"/>
      <c r="ZT239" s="824"/>
      <c r="ZU239" s="824"/>
      <c r="ZV239" s="824"/>
      <c r="ZW239" s="824"/>
      <c r="ZX239" s="824"/>
      <c r="ZY239" s="824"/>
      <c r="ZZ239" s="824"/>
      <c r="AAA239" s="824"/>
      <c r="AAB239" s="824"/>
      <c r="AAC239" s="824"/>
      <c r="AAD239" s="824"/>
      <c r="AAE239" s="824"/>
      <c r="AAF239" s="824"/>
      <c r="AAG239" s="824"/>
      <c r="AAH239" s="824"/>
      <c r="AAI239" s="824"/>
      <c r="AAJ239" s="824"/>
      <c r="AAK239" s="824"/>
      <c r="AAL239" s="824"/>
      <c r="AAM239" s="824"/>
      <c r="AAN239" s="824"/>
      <c r="AAO239" s="824"/>
      <c r="AAP239" s="824"/>
      <c r="AAQ239" s="824"/>
      <c r="AAR239" s="824"/>
      <c r="AAS239" s="824"/>
      <c r="AAT239" s="824"/>
      <c r="AAU239" s="824"/>
      <c r="AAV239" s="824"/>
      <c r="AAW239" s="824"/>
      <c r="AAX239" s="824"/>
      <c r="AAY239" s="824"/>
      <c r="AAZ239" s="824"/>
      <c r="ABA239" s="824"/>
      <c r="ABB239" s="824"/>
      <c r="ABC239" s="824"/>
      <c r="ABD239" s="824"/>
      <c r="ABE239" s="824"/>
      <c r="ABF239" s="824"/>
      <c r="ABG239" s="824"/>
      <c r="ABH239" s="824"/>
      <c r="ABI239" s="824"/>
      <c r="ABJ239" s="824"/>
      <c r="ABK239" s="824"/>
      <c r="ABL239" s="824"/>
      <c r="ABM239" s="824"/>
      <c r="ABN239" s="824"/>
      <c r="ABO239" s="824"/>
      <c r="ABP239" s="824"/>
      <c r="ABQ239" s="824"/>
      <c r="ABR239" s="824"/>
      <c r="ABS239" s="824"/>
      <c r="ABT239" s="824"/>
      <c r="ABU239" s="824"/>
      <c r="ABV239" s="824"/>
      <c r="ABW239" s="824"/>
      <c r="ABX239" s="824"/>
      <c r="ABY239" s="824"/>
      <c r="ABZ239" s="824"/>
      <c r="ACA239" s="824"/>
      <c r="ACB239" s="824"/>
      <c r="ACC239" s="824"/>
      <c r="ACD239" s="824"/>
      <c r="ACE239" s="824"/>
      <c r="ACF239" s="824"/>
      <c r="ACG239" s="824"/>
      <c r="ACH239" s="824"/>
      <c r="ACI239" s="824"/>
      <c r="ACJ239" s="824"/>
      <c r="ACK239" s="824"/>
      <c r="ACL239" s="824"/>
      <c r="ACM239" s="824"/>
      <c r="ACN239" s="824"/>
      <c r="ACO239" s="824"/>
      <c r="ACP239" s="824"/>
      <c r="ACQ239" s="824"/>
      <c r="ACR239" s="824"/>
      <c r="ACS239" s="824"/>
      <c r="ACT239" s="824"/>
      <c r="ACU239" s="824"/>
      <c r="ACV239" s="824"/>
      <c r="ACW239" s="824"/>
      <c r="ACX239" s="824"/>
      <c r="ACY239" s="824"/>
      <c r="ACZ239" s="824"/>
      <c r="ADA239" s="824"/>
      <c r="ADB239" s="824"/>
      <c r="ADC239" s="824"/>
      <c r="ADD239" s="824"/>
      <c r="ADE239" s="824"/>
      <c r="ADF239" s="824"/>
      <c r="ADG239" s="824"/>
      <c r="ADH239" s="824"/>
      <c r="ADI239" s="824"/>
      <c r="ADJ239" s="824"/>
      <c r="ADK239" s="824"/>
      <c r="ADL239" s="824"/>
      <c r="ADM239" s="824"/>
      <c r="ADN239" s="824"/>
      <c r="ADO239" s="824"/>
      <c r="ADP239" s="824"/>
      <c r="ADQ239" s="824"/>
      <c r="ADR239" s="824"/>
      <c r="ADS239" s="824"/>
      <c r="ADT239" s="824"/>
      <c r="ADU239" s="824"/>
      <c r="ADV239" s="824"/>
      <c r="ADW239" s="824"/>
      <c r="ADX239" s="824"/>
      <c r="ADY239" s="824"/>
      <c r="ADZ239" s="824"/>
      <c r="AEA239" s="824"/>
      <c r="AEB239" s="824"/>
      <c r="AEC239" s="824"/>
      <c r="AED239" s="824"/>
      <c r="AEE239" s="824"/>
      <c r="AEF239" s="824"/>
      <c r="AEG239" s="824"/>
      <c r="AEH239" s="824"/>
      <c r="AEI239" s="824"/>
      <c r="AEJ239" s="824"/>
      <c r="AEK239" s="824"/>
      <c r="AEL239" s="824"/>
      <c r="AEM239" s="824"/>
      <c r="AEN239" s="824"/>
      <c r="AEO239" s="824"/>
      <c r="AEP239" s="824"/>
      <c r="AEQ239" s="824"/>
      <c r="AER239" s="824"/>
      <c r="AES239" s="824"/>
      <c r="AET239" s="824"/>
      <c r="AEU239" s="824"/>
      <c r="AEV239" s="824"/>
      <c r="AEW239" s="824"/>
      <c r="AEX239" s="824"/>
      <c r="AEY239" s="824"/>
      <c r="AEZ239" s="824"/>
      <c r="AFA239" s="824"/>
      <c r="AFB239" s="824"/>
      <c r="AFC239" s="824"/>
      <c r="AFD239" s="824"/>
      <c r="AFE239" s="824"/>
      <c r="AFF239" s="824"/>
      <c r="AFG239" s="824"/>
      <c r="AFH239" s="824"/>
      <c r="AFI239" s="824"/>
      <c r="AFJ239" s="824"/>
      <c r="AFK239" s="824"/>
      <c r="AFL239" s="824"/>
      <c r="AFM239" s="824"/>
      <c r="AFN239" s="824"/>
      <c r="AFO239" s="824"/>
      <c r="AFP239" s="824"/>
      <c r="AFQ239" s="824"/>
      <c r="AFR239" s="824"/>
      <c r="AFS239" s="824"/>
      <c r="AFT239" s="824"/>
      <c r="AFU239" s="824"/>
      <c r="AFV239" s="824"/>
      <c r="AFW239" s="824"/>
      <c r="AFX239" s="824"/>
      <c r="AFY239" s="824"/>
      <c r="AFZ239" s="824"/>
      <c r="AGA239" s="824"/>
      <c r="AGB239" s="824"/>
      <c r="AGC239" s="824"/>
      <c r="AGD239" s="824"/>
      <c r="AGE239" s="824"/>
      <c r="AGF239" s="824"/>
      <c r="AGG239" s="824"/>
      <c r="AGH239" s="824"/>
      <c r="AGI239" s="824"/>
      <c r="AGJ239" s="824"/>
    </row>
    <row r="240" spans="1:868" s="825" customFormat="1" hidden="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c r="U240" s="824"/>
      <c r="V240" s="824"/>
      <c r="W240" s="824"/>
      <c r="X240" s="824"/>
      <c r="Y240" s="824"/>
      <c r="Z240" s="824"/>
      <c r="AA240" s="824"/>
      <c r="AB240" s="824"/>
      <c r="AC240" s="824"/>
      <c r="AD240" s="824"/>
      <c r="AE240" s="824"/>
      <c r="AF240" s="824"/>
      <c r="AG240" s="824"/>
      <c r="AH240" s="824"/>
      <c r="AI240" s="824"/>
      <c r="AJ240" s="824"/>
      <c r="AK240" s="824"/>
      <c r="AL240" s="824"/>
      <c r="AM240" s="824"/>
      <c r="AN240" s="824"/>
      <c r="AO240" s="824"/>
      <c r="AP240" s="824"/>
      <c r="AQ240" s="824"/>
      <c r="AR240" s="824"/>
      <c r="AS240" s="824"/>
      <c r="AT240" s="824"/>
      <c r="AU240" s="824"/>
      <c r="AV240" s="824"/>
      <c r="AW240" s="824"/>
      <c r="AX240" s="824"/>
      <c r="AY240" s="824"/>
      <c r="AZ240" s="824"/>
      <c r="BA240" s="824"/>
      <c r="BB240" s="824"/>
      <c r="BC240" s="824"/>
      <c r="BD240" s="824"/>
      <c r="BE240" s="824"/>
      <c r="BF240" s="824"/>
      <c r="BG240" s="824"/>
      <c r="BH240" s="824"/>
      <c r="BI240" s="824"/>
      <c r="BJ240" s="824"/>
      <c r="BK240" s="824"/>
      <c r="BL240" s="824"/>
      <c r="BM240" s="824"/>
      <c r="BN240" s="824"/>
      <c r="BO240" s="824"/>
      <c r="BP240" s="824"/>
      <c r="BQ240" s="824"/>
      <c r="BR240" s="824"/>
      <c r="BS240" s="824"/>
      <c r="BT240" s="824"/>
      <c r="BU240" s="824"/>
      <c r="BV240" s="824"/>
      <c r="BW240" s="824"/>
      <c r="BX240" s="824"/>
      <c r="BY240" s="824"/>
      <c r="BZ240" s="824"/>
      <c r="CA240" s="824"/>
      <c r="CB240" s="824"/>
      <c r="CC240" s="824"/>
      <c r="CD240" s="824"/>
      <c r="CE240" s="824"/>
      <c r="CF240" s="824"/>
      <c r="CG240" s="824"/>
      <c r="CH240" s="824"/>
      <c r="CI240" s="824"/>
      <c r="CJ240" s="824"/>
      <c r="CK240" s="824"/>
      <c r="CL240" s="824"/>
      <c r="CM240" s="824"/>
      <c r="CN240" s="824"/>
      <c r="CO240" s="824"/>
      <c r="CP240" s="824"/>
      <c r="CQ240" s="824"/>
      <c r="CR240" s="824"/>
      <c r="CS240" s="824"/>
      <c r="CT240" s="824"/>
      <c r="CU240" s="824"/>
      <c r="CV240" s="824"/>
      <c r="CW240" s="824"/>
      <c r="CX240" s="824"/>
      <c r="CY240" s="824"/>
      <c r="CZ240" s="824"/>
      <c r="DA240" s="824"/>
      <c r="DB240" s="824"/>
      <c r="DC240" s="824"/>
      <c r="DD240" s="824"/>
      <c r="DE240" s="824"/>
      <c r="DF240" s="824"/>
      <c r="DG240" s="824"/>
      <c r="DH240" s="824"/>
      <c r="DI240" s="824"/>
      <c r="DJ240" s="824"/>
      <c r="DK240" s="824"/>
      <c r="DL240" s="824"/>
      <c r="DM240" s="824"/>
      <c r="DN240" s="824"/>
      <c r="DO240" s="824"/>
      <c r="DP240" s="824"/>
      <c r="DQ240" s="824"/>
      <c r="DR240" s="824"/>
      <c r="DS240" s="824"/>
      <c r="DT240" s="824"/>
      <c r="DU240" s="824"/>
      <c r="DV240" s="824"/>
      <c r="DW240" s="824"/>
      <c r="DX240" s="824"/>
      <c r="DY240" s="824"/>
      <c r="DZ240" s="824"/>
      <c r="EA240" s="824"/>
      <c r="EB240" s="824"/>
      <c r="EC240" s="824"/>
      <c r="ED240" s="824"/>
      <c r="EE240" s="824"/>
      <c r="EF240" s="824"/>
      <c r="EG240" s="824"/>
      <c r="EH240" s="824"/>
      <c r="EI240" s="824"/>
      <c r="EJ240" s="824"/>
      <c r="EK240" s="824"/>
      <c r="EL240" s="824"/>
      <c r="EM240" s="824"/>
      <c r="EN240" s="824"/>
      <c r="EO240" s="824"/>
      <c r="EP240" s="824"/>
      <c r="EQ240" s="824"/>
      <c r="ER240" s="824"/>
      <c r="ES240" s="824"/>
      <c r="ET240" s="824"/>
      <c r="EU240" s="824"/>
      <c r="EV240" s="824"/>
      <c r="EW240" s="824"/>
      <c r="EX240" s="824"/>
      <c r="EY240" s="824"/>
      <c r="EZ240" s="824"/>
      <c r="FA240" s="824"/>
      <c r="FB240" s="824"/>
      <c r="FC240" s="824"/>
      <c r="FD240" s="824"/>
      <c r="FE240" s="824"/>
      <c r="FF240" s="824"/>
      <c r="FG240" s="824"/>
      <c r="FH240" s="824"/>
      <c r="FI240" s="824"/>
      <c r="FJ240" s="824"/>
      <c r="FK240" s="824"/>
      <c r="FL240" s="824"/>
      <c r="FM240" s="824"/>
      <c r="FN240" s="824"/>
      <c r="FO240" s="824"/>
      <c r="FP240" s="824"/>
      <c r="FQ240" s="824"/>
      <c r="FR240" s="824"/>
      <c r="FS240" s="824"/>
      <c r="FT240" s="824"/>
      <c r="FU240" s="824"/>
      <c r="FV240" s="824"/>
      <c r="FW240" s="824"/>
      <c r="FX240" s="824"/>
      <c r="FY240" s="824"/>
      <c r="FZ240" s="824"/>
      <c r="GA240" s="824"/>
      <c r="GB240" s="824"/>
      <c r="GC240" s="824"/>
      <c r="GD240" s="824"/>
      <c r="GE240" s="824"/>
      <c r="GF240" s="824"/>
      <c r="GG240" s="824"/>
      <c r="GH240" s="824"/>
      <c r="GI240" s="824"/>
      <c r="GJ240" s="824"/>
      <c r="GK240" s="824"/>
      <c r="GL240" s="824"/>
      <c r="GM240" s="824"/>
      <c r="GN240" s="824"/>
      <c r="GO240" s="824"/>
      <c r="GP240" s="824"/>
      <c r="GQ240" s="824"/>
      <c r="GR240" s="824"/>
      <c r="GS240" s="824"/>
      <c r="GT240" s="824"/>
      <c r="GU240" s="824"/>
      <c r="GV240" s="824"/>
      <c r="GW240" s="824"/>
      <c r="GX240" s="824"/>
      <c r="GY240" s="824"/>
      <c r="GZ240" s="824"/>
      <c r="HA240" s="824"/>
      <c r="HB240" s="824"/>
      <c r="HC240" s="824"/>
      <c r="HD240" s="824"/>
      <c r="HE240" s="824"/>
      <c r="HF240" s="824"/>
      <c r="HG240" s="824"/>
      <c r="HH240" s="824"/>
      <c r="HI240" s="824"/>
      <c r="HJ240" s="824"/>
      <c r="HK240" s="824"/>
      <c r="HL240" s="824"/>
      <c r="HM240" s="824"/>
      <c r="HN240" s="824"/>
      <c r="HO240" s="824"/>
      <c r="HP240" s="824"/>
      <c r="HQ240" s="824"/>
      <c r="HR240" s="824"/>
      <c r="HS240" s="824"/>
      <c r="HT240" s="824"/>
      <c r="HU240" s="824"/>
      <c r="HV240" s="824"/>
      <c r="HW240" s="824"/>
      <c r="HX240" s="824"/>
      <c r="HY240" s="824"/>
      <c r="HZ240" s="824"/>
      <c r="IA240" s="824"/>
      <c r="IB240" s="824"/>
      <c r="IC240" s="824"/>
      <c r="ID240" s="824"/>
      <c r="IE240" s="824"/>
      <c r="IF240" s="824"/>
      <c r="IG240" s="824"/>
      <c r="IH240" s="824"/>
      <c r="II240" s="824"/>
      <c r="IJ240" s="824"/>
      <c r="IK240" s="824"/>
      <c r="IL240" s="824"/>
      <c r="IM240" s="824"/>
      <c r="IN240" s="824"/>
      <c r="IO240" s="824"/>
      <c r="IP240" s="824"/>
      <c r="IQ240" s="824"/>
      <c r="IR240" s="824"/>
      <c r="IS240" s="824"/>
      <c r="IT240" s="824"/>
      <c r="IU240" s="824"/>
      <c r="IV240" s="824"/>
      <c r="IW240" s="824"/>
      <c r="IX240" s="824"/>
      <c r="IY240" s="824"/>
      <c r="IZ240" s="824"/>
      <c r="JA240" s="824"/>
      <c r="JB240" s="824"/>
      <c r="JC240" s="824"/>
      <c r="JD240" s="824"/>
      <c r="JE240" s="824"/>
      <c r="JF240" s="824"/>
      <c r="JG240" s="824"/>
      <c r="JH240" s="824"/>
      <c r="JI240" s="824"/>
      <c r="JJ240" s="824"/>
      <c r="JK240" s="824"/>
      <c r="JL240" s="824"/>
      <c r="JM240" s="824"/>
      <c r="JN240" s="824"/>
      <c r="JO240" s="824"/>
      <c r="JP240" s="824"/>
      <c r="JQ240" s="824"/>
      <c r="JR240" s="824"/>
      <c r="JS240" s="824"/>
      <c r="JT240" s="824"/>
      <c r="JU240" s="824"/>
      <c r="JV240" s="824"/>
      <c r="JW240" s="824"/>
      <c r="JX240" s="824"/>
      <c r="JY240" s="824"/>
      <c r="JZ240" s="824"/>
      <c r="KA240" s="824"/>
      <c r="KB240" s="824"/>
      <c r="KC240" s="824"/>
      <c r="KD240" s="824"/>
      <c r="KE240" s="824"/>
      <c r="KF240" s="824"/>
      <c r="KG240" s="824"/>
      <c r="KH240" s="824"/>
      <c r="KI240" s="824"/>
      <c r="KJ240" s="824"/>
      <c r="KK240" s="824"/>
      <c r="KL240" s="824"/>
      <c r="KM240" s="824"/>
      <c r="KN240" s="824"/>
      <c r="KO240" s="824"/>
      <c r="KP240" s="824"/>
      <c r="KQ240" s="824"/>
      <c r="KR240" s="824"/>
      <c r="KS240" s="824"/>
      <c r="KT240" s="824"/>
      <c r="KU240" s="824"/>
      <c r="KV240" s="824"/>
      <c r="KW240" s="824"/>
      <c r="KX240" s="824"/>
      <c r="KY240" s="824"/>
      <c r="KZ240" s="824"/>
      <c r="LA240" s="824"/>
      <c r="LB240" s="824"/>
      <c r="LC240" s="824"/>
      <c r="LD240" s="824"/>
      <c r="LE240" s="824"/>
      <c r="LF240" s="824"/>
      <c r="LG240" s="824"/>
      <c r="LH240" s="824"/>
      <c r="LI240" s="824"/>
      <c r="LJ240" s="824"/>
      <c r="LK240" s="824"/>
      <c r="LL240" s="824"/>
      <c r="LM240" s="824"/>
      <c r="LN240" s="824"/>
      <c r="LO240" s="824"/>
      <c r="LP240" s="824"/>
      <c r="LQ240" s="824"/>
      <c r="LR240" s="824"/>
      <c r="LS240" s="824"/>
      <c r="LT240" s="824"/>
      <c r="LU240" s="824"/>
      <c r="LV240" s="824"/>
      <c r="LW240" s="824"/>
      <c r="LX240" s="824"/>
      <c r="LY240" s="824"/>
      <c r="LZ240" s="824"/>
      <c r="MA240" s="824"/>
      <c r="MB240" s="824"/>
      <c r="MC240" s="824"/>
      <c r="MD240" s="824"/>
      <c r="ME240" s="824"/>
      <c r="MF240" s="824"/>
      <c r="MG240" s="824"/>
      <c r="MH240" s="824"/>
      <c r="MI240" s="824"/>
      <c r="MJ240" s="824"/>
      <c r="MK240" s="824"/>
      <c r="ML240" s="824"/>
      <c r="MM240" s="824"/>
      <c r="MN240" s="824"/>
      <c r="MO240" s="824"/>
      <c r="MP240" s="824"/>
      <c r="MQ240" s="824"/>
      <c r="MR240" s="824"/>
      <c r="MS240" s="824"/>
      <c r="MT240" s="824"/>
      <c r="MU240" s="824"/>
      <c r="MV240" s="824"/>
      <c r="MW240" s="824"/>
      <c r="MX240" s="824"/>
      <c r="MY240" s="824"/>
      <c r="MZ240" s="824"/>
      <c r="NA240" s="824"/>
      <c r="NB240" s="824"/>
      <c r="NC240" s="824"/>
      <c r="ND240" s="824"/>
      <c r="NE240" s="824"/>
      <c r="NF240" s="824"/>
      <c r="NG240" s="824"/>
      <c r="NH240" s="824"/>
      <c r="NI240" s="824"/>
      <c r="NJ240" s="824"/>
      <c r="NK240" s="824"/>
      <c r="NL240" s="824"/>
      <c r="NM240" s="824"/>
      <c r="NN240" s="824"/>
      <c r="NO240" s="824"/>
      <c r="NP240" s="824"/>
      <c r="NQ240" s="824"/>
      <c r="NR240" s="824"/>
      <c r="NS240" s="824"/>
      <c r="NT240" s="824"/>
      <c r="NU240" s="824"/>
      <c r="NV240" s="824"/>
      <c r="NW240" s="824"/>
      <c r="NX240" s="824"/>
      <c r="NY240" s="824"/>
      <c r="NZ240" s="824"/>
      <c r="OA240" s="824"/>
      <c r="OB240" s="824"/>
      <c r="OC240" s="824"/>
      <c r="OD240" s="824"/>
      <c r="OE240" s="824"/>
      <c r="OF240" s="824"/>
      <c r="OG240" s="824"/>
      <c r="OH240" s="824"/>
      <c r="OI240" s="824"/>
      <c r="OJ240" s="824"/>
      <c r="OK240" s="824"/>
      <c r="OL240" s="824"/>
      <c r="OM240" s="824"/>
      <c r="ON240" s="824"/>
      <c r="OO240" s="824"/>
      <c r="OP240" s="824"/>
      <c r="OQ240" s="824"/>
      <c r="OR240" s="824"/>
      <c r="OS240" s="824"/>
      <c r="OT240" s="824"/>
      <c r="OU240" s="824"/>
      <c r="OV240" s="824"/>
      <c r="OW240" s="824"/>
      <c r="OX240" s="824"/>
      <c r="OY240" s="824"/>
      <c r="OZ240" s="824"/>
      <c r="PA240" s="824"/>
      <c r="PB240" s="824"/>
      <c r="PC240" s="824"/>
      <c r="PD240" s="824"/>
      <c r="PE240" s="824"/>
      <c r="PF240" s="824"/>
      <c r="PG240" s="824"/>
      <c r="PH240" s="824"/>
      <c r="PI240" s="824"/>
      <c r="PJ240" s="824"/>
      <c r="PK240" s="824"/>
      <c r="PL240" s="824"/>
      <c r="PM240" s="824"/>
      <c r="PN240" s="824"/>
      <c r="PO240" s="824"/>
      <c r="PP240" s="824"/>
      <c r="PQ240" s="824"/>
      <c r="PR240" s="824"/>
      <c r="PS240" s="824"/>
      <c r="PT240" s="824"/>
      <c r="PU240" s="824"/>
      <c r="PV240" s="824"/>
      <c r="PW240" s="824"/>
      <c r="PX240" s="824"/>
      <c r="PY240" s="824"/>
      <c r="PZ240" s="824"/>
      <c r="QA240" s="824"/>
      <c r="QB240" s="824"/>
      <c r="QC240" s="824"/>
      <c r="QD240" s="824"/>
      <c r="QE240" s="824"/>
      <c r="QF240" s="824"/>
      <c r="QG240" s="824"/>
      <c r="QH240" s="824"/>
      <c r="QI240" s="824"/>
      <c r="QJ240" s="824"/>
      <c r="QK240" s="824"/>
      <c r="QL240" s="824"/>
      <c r="QM240" s="824"/>
      <c r="QN240" s="824"/>
      <c r="QO240" s="824"/>
      <c r="QP240" s="824"/>
      <c r="QQ240" s="824"/>
      <c r="QR240" s="824"/>
      <c r="QS240" s="824"/>
      <c r="QT240" s="824"/>
      <c r="QU240" s="824"/>
      <c r="QV240" s="824"/>
      <c r="QW240" s="824"/>
      <c r="QX240" s="824"/>
      <c r="QY240" s="824"/>
      <c r="QZ240" s="824"/>
      <c r="RA240" s="824"/>
      <c r="RB240" s="824"/>
      <c r="RC240" s="824"/>
      <c r="RD240" s="824"/>
      <c r="RE240" s="824"/>
      <c r="RF240" s="824"/>
      <c r="RG240" s="824"/>
      <c r="RH240" s="824"/>
      <c r="RI240" s="824"/>
      <c r="RJ240" s="824"/>
      <c r="RK240" s="824"/>
      <c r="RL240" s="824"/>
      <c r="RM240" s="824"/>
      <c r="RN240" s="824"/>
      <c r="RO240" s="824"/>
      <c r="RP240" s="824"/>
      <c r="RQ240" s="824"/>
      <c r="RR240" s="824"/>
      <c r="RS240" s="824"/>
      <c r="RT240" s="824"/>
      <c r="RU240" s="824"/>
      <c r="RV240" s="824"/>
      <c r="RW240" s="824"/>
      <c r="RX240" s="824"/>
      <c r="RY240" s="824"/>
      <c r="RZ240" s="824"/>
      <c r="SA240" s="824"/>
      <c r="SB240" s="824"/>
      <c r="SC240" s="824"/>
      <c r="SD240" s="824"/>
      <c r="SE240" s="824"/>
      <c r="SF240" s="824"/>
      <c r="SG240" s="824"/>
      <c r="SH240" s="824"/>
      <c r="SI240" s="824"/>
      <c r="SJ240" s="824"/>
      <c r="SK240" s="824"/>
      <c r="SL240" s="824"/>
      <c r="SM240" s="824"/>
      <c r="SN240" s="824"/>
      <c r="SO240" s="824"/>
      <c r="SP240" s="824"/>
      <c r="SQ240" s="824"/>
      <c r="SR240" s="824"/>
      <c r="SS240" s="824"/>
      <c r="ST240" s="824"/>
      <c r="SU240" s="824"/>
      <c r="SV240" s="824"/>
      <c r="SW240" s="824"/>
      <c r="SX240" s="824"/>
      <c r="SY240" s="824"/>
      <c r="SZ240" s="824"/>
      <c r="TA240" s="824"/>
      <c r="TB240" s="824"/>
      <c r="TC240" s="824"/>
      <c r="TD240" s="824"/>
      <c r="TE240" s="824"/>
      <c r="TF240" s="824"/>
      <c r="TG240" s="824"/>
      <c r="TH240" s="824"/>
      <c r="TI240" s="824"/>
      <c r="TJ240" s="824"/>
      <c r="TK240" s="824"/>
      <c r="TL240" s="824"/>
      <c r="TM240" s="824"/>
      <c r="TN240" s="824"/>
      <c r="TO240" s="824"/>
      <c r="TP240" s="824"/>
      <c r="TQ240" s="824"/>
      <c r="TR240" s="824"/>
      <c r="TS240" s="824"/>
      <c r="TT240" s="824"/>
      <c r="TU240" s="824"/>
      <c r="TV240" s="824"/>
      <c r="TW240" s="824"/>
      <c r="TX240" s="824"/>
      <c r="TY240" s="824"/>
      <c r="TZ240" s="824"/>
      <c r="UA240" s="824"/>
      <c r="UB240" s="824"/>
      <c r="UC240" s="824"/>
      <c r="UD240" s="824"/>
      <c r="UE240" s="824"/>
      <c r="UF240" s="824"/>
      <c r="UG240" s="824"/>
      <c r="UH240" s="824"/>
      <c r="UI240" s="824"/>
      <c r="UJ240" s="824"/>
      <c r="UK240" s="824"/>
      <c r="UL240" s="824"/>
      <c r="UM240" s="824"/>
      <c r="UN240" s="824"/>
      <c r="UO240" s="824"/>
      <c r="UP240" s="824"/>
      <c r="UQ240" s="824"/>
      <c r="UR240" s="824"/>
      <c r="US240" s="824"/>
      <c r="UT240" s="824"/>
      <c r="UU240" s="824"/>
      <c r="UV240" s="824"/>
      <c r="UW240" s="824"/>
      <c r="UX240" s="824"/>
      <c r="UY240" s="824"/>
      <c r="UZ240" s="824"/>
      <c r="VA240" s="824"/>
      <c r="VB240" s="824"/>
      <c r="VC240" s="824"/>
      <c r="VD240" s="824"/>
      <c r="VE240" s="824"/>
      <c r="VF240" s="824"/>
      <c r="VG240" s="824"/>
      <c r="VH240" s="824"/>
      <c r="VI240" s="824"/>
      <c r="VJ240" s="824"/>
      <c r="VK240" s="824"/>
      <c r="VL240" s="824"/>
      <c r="VM240" s="824"/>
      <c r="VN240" s="824"/>
      <c r="VO240" s="824"/>
      <c r="VP240" s="824"/>
      <c r="VQ240" s="824"/>
      <c r="VR240" s="824"/>
      <c r="VS240" s="824"/>
      <c r="VT240" s="824"/>
      <c r="VU240" s="824"/>
      <c r="VV240" s="824"/>
      <c r="VW240" s="824"/>
      <c r="VX240" s="824"/>
      <c r="VY240" s="824"/>
      <c r="VZ240" s="824"/>
      <c r="WA240" s="824"/>
      <c r="WB240" s="824"/>
      <c r="WC240" s="824"/>
      <c r="WD240" s="824"/>
      <c r="WE240" s="824"/>
      <c r="WF240" s="824"/>
      <c r="WG240" s="824"/>
      <c r="WH240" s="824"/>
      <c r="WI240" s="824"/>
      <c r="WJ240" s="824"/>
      <c r="WK240" s="824"/>
      <c r="WL240" s="824"/>
      <c r="WM240" s="824"/>
      <c r="WN240" s="824"/>
      <c r="WO240" s="824"/>
      <c r="WP240" s="824"/>
      <c r="WQ240" s="824"/>
      <c r="WR240" s="824"/>
      <c r="WS240" s="824"/>
      <c r="WT240" s="824"/>
      <c r="WU240" s="824"/>
      <c r="WV240" s="824"/>
      <c r="WW240" s="824"/>
      <c r="WX240" s="824"/>
      <c r="WY240" s="824"/>
      <c r="WZ240" s="824"/>
      <c r="XA240" s="824"/>
      <c r="XB240" s="824"/>
      <c r="XC240" s="824"/>
      <c r="XD240" s="824"/>
      <c r="XE240" s="824"/>
      <c r="XF240" s="824"/>
      <c r="XG240" s="824"/>
      <c r="XH240" s="824"/>
      <c r="XI240" s="824"/>
      <c r="XJ240" s="824"/>
      <c r="XK240" s="824"/>
      <c r="XL240" s="824"/>
      <c r="XM240" s="824"/>
      <c r="XN240" s="824"/>
      <c r="XO240" s="824"/>
      <c r="XP240" s="824"/>
      <c r="XQ240" s="824"/>
      <c r="XR240" s="824"/>
      <c r="XS240" s="824"/>
      <c r="XT240" s="824"/>
      <c r="XU240" s="824"/>
      <c r="XV240" s="824"/>
      <c r="XW240" s="824"/>
      <c r="XX240" s="824"/>
      <c r="XY240" s="824"/>
      <c r="XZ240" s="824"/>
      <c r="YA240" s="824"/>
      <c r="YB240" s="824"/>
      <c r="YC240" s="824"/>
      <c r="YD240" s="824"/>
      <c r="YE240" s="824"/>
      <c r="YF240" s="824"/>
      <c r="YG240" s="824"/>
      <c r="YH240" s="824"/>
      <c r="YI240" s="824"/>
      <c r="YJ240" s="824"/>
      <c r="YK240" s="824"/>
      <c r="YL240" s="824"/>
      <c r="YM240" s="824"/>
      <c r="YN240" s="824"/>
      <c r="YO240" s="824"/>
      <c r="YP240" s="824"/>
      <c r="YQ240" s="824"/>
      <c r="YR240" s="824"/>
      <c r="YS240" s="824"/>
      <c r="YT240" s="824"/>
      <c r="YU240" s="824"/>
      <c r="YV240" s="824"/>
      <c r="YW240" s="824"/>
      <c r="YX240" s="824"/>
      <c r="YY240" s="824"/>
      <c r="YZ240" s="824"/>
      <c r="ZA240" s="824"/>
      <c r="ZB240" s="824"/>
      <c r="ZC240" s="824"/>
      <c r="ZD240" s="824"/>
      <c r="ZE240" s="824"/>
      <c r="ZF240" s="824"/>
      <c r="ZG240" s="824"/>
      <c r="ZH240" s="824"/>
      <c r="ZI240" s="824"/>
      <c r="ZJ240" s="824"/>
      <c r="ZK240" s="824"/>
      <c r="ZL240" s="824"/>
      <c r="ZM240" s="824"/>
      <c r="ZN240" s="824"/>
      <c r="ZO240" s="824"/>
      <c r="ZP240" s="824"/>
      <c r="ZQ240" s="824"/>
      <c r="ZR240" s="824"/>
      <c r="ZS240" s="824"/>
      <c r="ZT240" s="824"/>
      <c r="ZU240" s="824"/>
      <c r="ZV240" s="824"/>
      <c r="ZW240" s="824"/>
      <c r="ZX240" s="824"/>
      <c r="ZY240" s="824"/>
      <c r="ZZ240" s="824"/>
      <c r="AAA240" s="824"/>
      <c r="AAB240" s="824"/>
      <c r="AAC240" s="824"/>
      <c r="AAD240" s="824"/>
      <c r="AAE240" s="824"/>
      <c r="AAF240" s="824"/>
      <c r="AAG240" s="824"/>
      <c r="AAH240" s="824"/>
      <c r="AAI240" s="824"/>
      <c r="AAJ240" s="824"/>
      <c r="AAK240" s="824"/>
      <c r="AAL240" s="824"/>
      <c r="AAM240" s="824"/>
      <c r="AAN240" s="824"/>
      <c r="AAO240" s="824"/>
      <c r="AAP240" s="824"/>
      <c r="AAQ240" s="824"/>
      <c r="AAR240" s="824"/>
      <c r="AAS240" s="824"/>
      <c r="AAT240" s="824"/>
      <c r="AAU240" s="824"/>
      <c r="AAV240" s="824"/>
      <c r="AAW240" s="824"/>
      <c r="AAX240" s="824"/>
      <c r="AAY240" s="824"/>
      <c r="AAZ240" s="824"/>
      <c r="ABA240" s="824"/>
      <c r="ABB240" s="824"/>
      <c r="ABC240" s="824"/>
      <c r="ABD240" s="824"/>
      <c r="ABE240" s="824"/>
      <c r="ABF240" s="824"/>
      <c r="ABG240" s="824"/>
      <c r="ABH240" s="824"/>
      <c r="ABI240" s="824"/>
      <c r="ABJ240" s="824"/>
      <c r="ABK240" s="824"/>
      <c r="ABL240" s="824"/>
      <c r="ABM240" s="824"/>
      <c r="ABN240" s="824"/>
      <c r="ABO240" s="824"/>
      <c r="ABP240" s="824"/>
      <c r="ABQ240" s="824"/>
      <c r="ABR240" s="824"/>
      <c r="ABS240" s="824"/>
      <c r="ABT240" s="824"/>
      <c r="ABU240" s="824"/>
      <c r="ABV240" s="824"/>
      <c r="ABW240" s="824"/>
      <c r="ABX240" s="824"/>
      <c r="ABY240" s="824"/>
      <c r="ABZ240" s="824"/>
      <c r="ACA240" s="824"/>
      <c r="ACB240" s="824"/>
      <c r="ACC240" s="824"/>
      <c r="ACD240" s="824"/>
      <c r="ACE240" s="824"/>
      <c r="ACF240" s="824"/>
      <c r="ACG240" s="824"/>
      <c r="ACH240" s="824"/>
      <c r="ACI240" s="824"/>
      <c r="ACJ240" s="824"/>
      <c r="ACK240" s="824"/>
      <c r="ACL240" s="824"/>
      <c r="ACM240" s="824"/>
      <c r="ACN240" s="824"/>
      <c r="ACO240" s="824"/>
      <c r="ACP240" s="824"/>
      <c r="ACQ240" s="824"/>
      <c r="ACR240" s="824"/>
      <c r="ACS240" s="824"/>
      <c r="ACT240" s="824"/>
      <c r="ACU240" s="824"/>
      <c r="ACV240" s="824"/>
      <c r="ACW240" s="824"/>
      <c r="ACX240" s="824"/>
      <c r="ACY240" s="824"/>
      <c r="ACZ240" s="824"/>
      <c r="ADA240" s="824"/>
      <c r="ADB240" s="824"/>
      <c r="ADC240" s="824"/>
      <c r="ADD240" s="824"/>
      <c r="ADE240" s="824"/>
      <c r="ADF240" s="824"/>
      <c r="ADG240" s="824"/>
      <c r="ADH240" s="824"/>
      <c r="ADI240" s="824"/>
      <c r="ADJ240" s="824"/>
      <c r="ADK240" s="824"/>
      <c r="ADL240" s="824"/>
      <c r="ADM240" s="824"/>
      <c r="ADN240" s="824"/>
      <c r="ADO240" s="824"/>
      <c r="ADP240" s="824"/>
      <c r="ADQ240" s="824"/>
      <c r="ADR240" s="824"/>
      <c r="ADS240" s="824"/>
      <c r="ADT240" s="824"/>
      <c r="ADU240" s="824"/>
      <c r="ADV240" s="824"/>
      <c r="ADW240" s="824"/>
      <c r="ADX240" s="824"/>
      <c r="ADY240" s="824"/>
      <c r="ADZ240" s="824"/>
      <c r="AEA240" s="824"/>
      <c r="AEB240" s="824"/>
      <c r="AEC240" s="824"/>
      <c r="AED240" s="824"/>
      <c r="AEE240" s="824"/>
      <c r="AEF240" s="824"/>
      <c r="AEG240" s="824"/>
      <c r="AEH240" s="824"/>
      <c r="AEI240" s="824"/>
      <c r="AEJ240" s="824"/>
      <c r="AEK240" s="824"/>
      <c r="AEL240" s="824"/>
      <c r="AEM240" s="824"/>
      <c r="AEN240" s="824"/>
      <c r="AEO240" s="824"/>
      <c r="AEP240" s="824"/>
      <c r="AEQ240" s="824"/>
      <c r="AER240" s="824"/>
      <c r="AES240" s="824"/>
      <c r="AET240" s="824"/>
      <c r="AEU240" s="824"/>
      <c r="AEV240" s="824"/>
      <c r="AEW240" s="824"/>
      <c r="AEX240" s="824"/>
      <c r="AEY240" s="824"/>
      <c r="AEZ240" s="824"/>
      <c r="AFA240" s="824"/>
      <c r="AFB240" s="824"/>
      <c r="AFC240" s="824"/>
      <c r="AFD240" s="824"/>
      <c r="AFE240" s="824"/>
      <c r="AFF240" s="824"/>
      <c r="AFG240" s="824"/>
      <c r="AFH240" s="824"/>
      <c r="AFI240" s="824"/>
      <c r="AFJ240" s="824"/>
      <c r="AFK240" s="824"/>
      <c r="AFL240" s="824"/>
      <c r="AFM240" s="824"/>
      <c r="AFN240" s="824"/>
      <c r="AFO240" s="824"/>
      <c r="AFP240" s="824"/>
      <c r="AFQ240" s="824"/>
      <c r="AFR240" s="824"/>
      <c r="AFS240" s="824"/>
      <c r="AFT240" s="824"/>
      <c r="AFU240" s="824"/>
      <c r="AFV240" s="824"/>
      <c r="AFW240" s="824"/>
      <c r="AFX240" s="824"/>
      <c r="AFY240" s="824"/>
      <c r="AFZ240" s="824"/>
      <c r="AGA240" s="824"/>
      <c r="AGB240" s="824"/>
      <c r="AGC240" s="824"/>
      <c r="AGD240" s="824"/>
      <c r="AGE240" s="824"/>
      <c r="AGF240" s="824"/>
      <c r="AGG240" s="824"/>
      <c r="AGH240" s="824"/>
      <c r="AGI240" s="824"/>
      <c r="AGJ240" s="824"/>
    </row>
    <row r="241" spans="1:868" s="825" customFormat="1" hidden="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824"/>
      <c r="AP241" s="824"/>
      <c r="AQ241" s="824"/>
      <c r="AR241" s="824"/>
      <c r="AS241" s="824"/>
      <c r="AT241" s="824"/>
      <c r="AU241" s="824"/>
      <c r="AV241" s="824"/>
      <c r="AW241" s="824"/>
      <c r="AX241" s="824"/>
      <c r="AY241" s="824"/>
      <c r="AZ241" s="824"/>
      <c r="BA241" s="824"/>
      <c r="BB241" s="824"/>
      <c r="BC241" s="824"/>
      <c r="BD241" s="824"/>
      <c r="BE241" s="824"/>
      <c r="BF241" s="824"/>
      <c r="BG241" s="824"/>
      <c r="BH241" s="824"/>
      <c r="BI241" s="824"/>
      <c r="BJ241" s="824"/>
      <c r="BK241" s="824"/>
      <c r="BL241" s="824"/>
      <c r="BM241" s="824"/>
      <c r="BN241" s="824"/>
      <c r="BO241" s="824"/>
      <c r="BP241" s="824"/>
      <c r="BQ241" s="824"/>
      <c r="BR241" s="824"/>
      <c r="BS241" s="824"/>
      <c r="BT241" s="824"/>
      <c r="BU241" s="824"/>
      <c r="BV241" s="824"/>
      <c r="BW241" s="824"/>
      <c r="BX241" s="824"/>
      <c r="BY241" s="824"/>
      <c r="BZ241" s="824"/>
      <c r="CA241" s="824"/>
      <c r="CB241" s="824"/>
      <c r="CC241" s="824"/>
      <c r="CD241" s="824"/>
      <c r="CE241" s="824"/>
      <c r="CF241" s="824"/>
      <c r="CG241" s="824"/>
      <c r="CH241" s="824"/>
      <c r="CI241" s="824"/>
      <c r="CJ241" s="824"/>
      <c r="CK241" s="824"/>
      <c r="CL241" s="824"/>
      <c r="CM241" s="824"/>
      <c r="CN241" s="824"/>
      <c r="CO241" s="824"/>
      <c r="CP241" s="824"/>
      <c r="CQ241" s="824"/>
      <c r="CR241" s="824"/>
      <c r="CS241" s="824"/>
      <c r="CT241" s="824"/>
      <c r="CU241" s="824"/>
      <c r="CV241" s="824"/>
      <c r="CW241" s="824"/>
      <c r="CX241" s="824"/>
      <c r="CY241" s="824"/>
      <c r="CZ241" s="824"/>
      <c r="DA241" s="824"/>
      <c r="DB241" s="824"/>
      <c r="DC241" s="824"/>
      <c r="DD241" s="824"/>
      <c r="DE241" s="824"/>
      <c r="DF241" s="824"/>
      <c r="DG241" s="824"/>
      <c r="DH241" s="824"/>
      <c r="DI241" s="824"/>
      <c r="DJ241" s="824"/>
      <c r="DK241" s="824"/>
      <c r="DL241" s="824"/>
      <c r="DM241" s="824"/>
      <c r="DN241" s="824"/>
      <c r="DO241" s="824"/>
      <c r="DP241" s="824"/>
      <c r="DQ241" s="824"/>
      <c r="DR241" s="824"/>
      <c r="DS241" s="824"/>
      <c r="DT241" s="824"/>
      <c r="DU241" s="824"/>
      <c r="DV241" s="824"/>
      <c r="DW241" s="824"/>
      <c r="DX241" s="824"/>
      <c r="DY241" s="824"/>
      <c r="DZ241" s="824"/>
      <c r="EA241" s="824"/>
      <c r="EB241" s="824"/>
      <c r="EC241" s="824"/>
      <c r="ED241" s="824"/>
      <c r="EE241" s="824"/>
      <c r="EF241" s="824"/>
      <c r="EG241" s="824"/>
      <c r="EH241" s="824"/>
      <c r="EI241" s="824"/>
      <c r="EJ241" s="824"/>
      <c r="EK241" s="824"/>
      <c r="EL241" s="824"/>
      <c r="EM241" s="824"/>
      <c r="EN241" s="824"/>
      <c r="EO241" s="824"/>
      <c r="EP241" s="824"/>
      <c r="EQ241" s="824"/>
      <c r="ER241" s="824"/>
      <c r="ES241" s="824"/>
      <c r="ET241" s="824"/>
      <c r="EU241" s="824"/>
      <c r="EV241" s="824"/>
      <c r="EW241" s="824"/>
      <c r="EX241" s="824"/>
      <c r="EY241" s="824"/>
      <c r="EZ241" s="824"/>
      <c r="FA241" s="824"/>
      <c r="FB241" s="824"/>
      <c r="FC241" s="824"/>
      <c r="FD241" s="824"/>
      <c r="FE241" s="824"/>
      <c r="FF241" s="824"/>
      <c r="FG241" s="824"/>
      <c r="FH241" s="824"/>
      <c r="FI241" s="824"/>
      <c r="FJ241" s="824"/>
      <c r="FK241" s="824"/>
      <c r="FL241" s="824"/>
      <c r="FM241" s="824"/>
      <c r="FN241" s="824"/>
      <c r="FO241" s="824"/>
      <c r="FP241" s="824"/>
      <c r="FQ241" s="824"/>
      <c r="FR241" s="824"/>
      <c r="FS241" s="824"/>
      <c r="FT241" s="824"/>
      <c r="FU241" s="824"/>
      <c r="FV241" s="824"/>
      <c r="FW241" s="824"/>
      <c r="FX241" s="824"/>
      <c r="FY241" s="824"/>
      <c r="FZ241" s="824"/>
      <c r="GA241" s="824"/>
      <c r="GB241" s="824"/>
      <c r="GC241" s="824"/>
      <c r="GD241" s="824"/>
      <c r="GE241" s="824"/>
      <c r="GF241" s="824"/>
      <c r="GG241" s="824"/>
      <c r="GH241" s="824"/>
      <c r="GI241" s="824"/>
      <c r="GJ241" s="824"/>
      <c r="GK241" s="824"/>
      <c r="GL241" s="824"/>
      <c r="GM241" s="824"/>
      <c r="GN241" s="824"/>
      <c r="GO241" s="824"/>
      <c r="GP241" s="824"/>
      <c r="GQ241" s="824"/>
      <c r="GR241" s="824"/>
      <c r="GS241" s="824"/>
      <c r="GT241" s="824"/>
      <c r="GU241" s="824"/>
      <c r="GV241" s="824"/>
      <c r="GW241" s="824"/>
      <c r="GX241" s="824"/>
      <c r="GY241" s="824"/>
      <c r="GZ241" s="824"/>
      <c r="HA241" s="824"/>
      <c r="HB241" s="824"/>
      <c r="HC241" s="824"/>
      <c r="HD241" s="824"/>
      <c r="HE241" s="824"/>
      <c r="HF241" s="824"/>
      <c r="HG241" s="824"/>
      <c r="HH241" s="824"/>
      <c r="HI241" s="824"/>
      <c r="HJ241" s="824"/>
      <c r="HK241" s="824"/>
      <c r="HL241" s="824"/>
      <c r="HM241" s="824"/>
      <c r="HN241" s="824"/>
      <c r="HO241" s="824"/>
      <c r="HP241" s="824"/>
      <c r="HQ241" s="824"/>
      <c r="HR241" s="824"/>
      <c r="HS241" s="824"/>
      <c r="HT241" s="824"/>
      <c r="HU241" s="824"/>
      <c r="HV241" s="824"/>
      <c r="HW241" s="824"/>
      <c r="HX241" s="824"/>
      <c r="HY241" s="824"/>
      <c r="HZ241" s="824"/>
      <c r="IA241" s="824"/>
      <c r="IB241" s="824"/>
      <c r="IC241" s="824"/>
      <c r="ID241" s="824"/>
      <c r="IE241" s="824"/>
      <c r="IF241" s="824"/>
      <c r="IG241" s="824"/>
      <c r="IH241" s="824"/>
      <c r="II241" s="824"/>
      <c r="IJ241" s="824"/>
      <c r="IK241" s="824"/>
      <c r="IL241" s="824"/>
      <c r="IM241" s="824"/>
      <c r="IN241" s="824"/>
      <c r="IO241" s="824"/>
      <c r="IP241" s="824"/>
      <c r="IQ241" s="824"/>
      <c r="IR241" s="824"/>
      <c r="IS241" s="824"/>
      <c r="IT241" s="824"/>
      <c r="IU241" s="824"/>
      <c r="IV241" s="824"/>
      <c r="IW241" s="824"/>
      <c r="IX241" s="824"/>
      <c r="IY241" s="824"/>
      <c r="IZ241" s="824"/>
      <c r="JA241" s="824"/>
      <c r="JB241" s="824"/>
      <c r="JC241" s="824"/>
      <c r="JD241" s="824"/>
      <c r="JE241" s="824"/>
      <c r="JF241" s="824"/>
      <c r="JG241" s="824"/>
      <c r="JH241" s="824"/>
      <c r="JI241" s="824"/>
      <c r="JJ241" s="824"/>
      <c r="JK241" s="824"/>
      <c r="JL241" s="824"/>
      <c r="JM241" s="824"/>
      <c r="JN241" s="824"/>
      <c r="JO241" s="824"/>
      <c r="JP241" s="824"/>
      <c r="JQ241" s="824"/>
      <c r="JR241" s="824"/>
      <c r="JS241" s="824"/>
      <c r="JT241" s="824"/>
      <c r="JU241" s="824"/>
      <c r="JV241" s="824"/>
      <c r="JW241" s="824"/>
      <c r="JX241" s="824"/>
      <c r="JY241" s="824"/>
      <c r="JZ241" s="824"/>
      <c r="KA241" s="824"/>
      <c r="KB241" s="824"/>
      <c r="KC241" s="824"/>
      <c r="KD241" s="824"/>
      <c r="KE241" s="824"/>
      <c r="KF241" s="824"/>
      <c r="KG241" s="824"/>
      <c r="KH241" s="824"/>
      <c r="KI241" s="824"/>
      <c r="KJ241" s="824"/>
      <c r="KK241" s="824"/>
      <c r="KL241" s="824"/>
      <c r="KM241" s="824"/>
      <c r="KN241" s="824"/>
      <c r="KO241" s="824"/>
      <c r="KP241" s="824"/>
      <c r="KQ241" s="824"/>
      <c r="KR241" s="824"/>
      <c r="KS241" s="824"/>
      <c r="KT241" s="824"/>
      <c r="KU241" s="824"/>
      <c r="KV241" s="824"/>
      <c r="KW241" s="824"/>
      <c r="KX241" s="824"/>
      <c r="KY241" s="824"/>
      <c r="KZ241" s="824"/>
      <c r="LA241" s="824"/>
      <c r="LB241" s="824"/>
      <c r="LC241" s="824"/>
      <c r="LD241" s="824"/>
      <c r="LE241" s="824"/>
      <c r="LF241" s="824"/>
      <c r="LG241" s="824"/>
      <c r="LH241" s="824"/>
      <c r="LI241" s="824"/>
      <c r="LJ241" s="824"/>
      <c r="LK241" s="824"/>
      <c r="LL241" s="824"/>
      <c r="LM241" s="824"/>
      <c r="LN241" s="824"/>
      <c r="LO241" s="824"/>
      <c r="LP241" s="824"/>
      <c r="LQ241" s="824"/>
      <c r="LR241" s="824"/>
      <c r="LS241" s="824"/>
      <c r="LT241" s="824"/>
      <c r="LU241" s="824"/>
      <c r="LV241" s="824"/>
      <c r="LW241" s="824"/>
      <c r="LX241" s="824"/>
      <c r="LY241" s="824"/>
      <c r="LZ241" s="824"/>
      <c r="MA241" s="824"/>
      <c r="MB241" s="824"/>
      <c r="MC241" s="824"/>
      <c r="MD241" s="824"/>
      <c r="ME241" s="824"/>
      <c r="MF241" s="824"/>
      <c r="MG241" s="824"/>
      <c r="MH241" s="824"/>
      <c r="MI241" s="824"/>
      <c r="MJ241" s="824"/>
      <c r="MK241" s="824"/>
      <c r="ML241" s="824"/>
      <c r="MM241" s="824"/>
      <c r="MN241" s="824"/>
      <c r="MO241" s="824"/>
      <c r="MP241" s="824"/>
      <c r="MQ241" s="824"/>
      <c r="MR241" s="824"/>
      <c r="MS241" s="824"/>
      <c r="MT241" s="824"/>
      <c r="MU241" s="824"/>
      <c r="MV241" s="824"/>
      <c r="MW241" s="824"/>
      <c r="MX241" s="824"/>
      <c r="MY241" s="824"/>
      <c r="MZ241" s="824"/>
      <c r="NA241" s="824"/>
      <c r="NB241" s="824"/>
      <c r="NC241" s="824"/>
      <c r="ND241" s="824"/>
      <c r="NE241" s="824"/>
      <c r="NF241" s="824"/>
      <c r="NG241" s="824"/>
      <c r="NH241" s="824"/>
      <c r="NI241" s="824"/>
      <c r="NJ241" s="824"/>
      <c r="NK241" s="824"/>
      <c r="NL241" s="824"/>
      <c r="NM241" s="824"/>
      <c r="NN241" s="824"/>
      <c r="NO241" s="824"/>
      <c r="NP241" s="824"/>
      <c r="NQ241" s="824"/>
      <c r="NR241" s="824"/>
      <c r="NS241" s="824"/>
      <c r="NT241" s="824"/>
      <c r="NU241" s="824"/>
      <c r="NV241" s="824"/>
      <c r="NW241" s="824"/>
      <c r="NX241" s="824"/>
      <c r="NY241" s="824"/>
      <c r="NZ241" s="824"/>
      <c r="OA241" s="824"/>
      <c r="OB241" s="824"/>
      <c r="OC241" s="824"/>
      <c r="OD241" s="824"/>
      <c r="OE241" s="824"/>
      <c r="OF241" s="824"/>
      <c r="OG241" s="824"/>
      <c r="OH241" s="824"/>
      <c r="OI241" s="824"/>
      <c r="OJ241" s="824"/>
      <c r="OK241" s="824"/>
      <c r="OL241" s="824"/>
      <c r="OM241" s="824"/>
      <c r="ON241" s="824"/>
      <c r="OO241" s="824"/>
      <c r="OP241" s="824"/>
      <c r="OQ241" s="824"/>
      <c r="OR241" s="824"/>
      <c r="OS241" s="824"/>
      <c r="OT241" s="824"/>
      <c r="OU241" s="824"/>
      <c r="OV241" s="824"/>
      <c r="OW241" s="824"/>
      <c r="OX241" s="824"/>
      <c r="OY241" s="824"/>
      <c r="OZ241" s="824"/>
      <c r="PA241" s="824"/>
      <c r="PB241" s="824"/>
      <c r="PC241" s="824"/>
      <c r="PD241" s="824"/>
      <c r="PE241" s="824"/>
      <c r="PF241" s="824"/>
      <c r="PG241" s="824"/>
      <c r="PH241" s="824"/>
      <c r="PI241" s="824"/>
      <c r="PJ241" s="824"/>
      <c r="PK241" s="824"/>
      <c r="PL241" s="824"/>
      <c r="PM241" s="824"/>
      <c r="PN241" s="824"/>
      <c r="PO241" s="824"/>
      <c r="PP241" s="824"/>
      <c r="PQ241" s="824"/>
      <c r="PR241" s="824"/>
      <c r="PS241" s="824"/>
      <c r="PT241" s="824"/>
      <c r="PU241" s="824"/>
      <c r="PV241" s="824"/>
      <c r="PW241" s="824"/>
      <c r="PX241" s="824"/>
      <c r="PY241" s="824"/>
      <c r="PZ241" s="824"/>
      <c r="QA241" s="824"/>
      <c r="QB241" s="824"/>
      <c r="QC241" s="824"/>
      <c r="QD241" s="824"/>
      <c r="QE241" s="824"/>
      <c r="QF241" s="824"/>
      <c r="QG241" s="824"/>
      <c r="QH241" s="824"/>
      <c r="QI241" s="824"/>
      <c r="QJ241" s="824"/>
      <c r="QK241" s="824"/>
      <c r="QL241" s="824"/>
      <c r="QM241" s="824"/>
      <c r="QN241" s="824"/>
      <c r="QO241" s="824"/>
      <c r="QP241" s="824"/>
      <c r="QQ241" s="824"/>
      <c r="QR241" s="824"/>
      <c r="QS241" s="824"/>
      <c r="QT241" s="824"/>
      <c r="QU241" s="824"/>
      <c r="QV241" s="824"/>
      <c r="QW241" s="824"/>
      <c r="QX241" s="824"/>
      <c r="QY241" s="824"/>
      <c r="QZ241" s="824"/>
      <c r="RA241" s="824"/>
      <c r="RB241" s="824"/>
      <c r="RC241" s="824"/>
      <c r="RD241" s="824"/>
      <c r="RE241" s="824"/>
      <c r="RF241" s="824"/>
      <c r="RG241" s="824"/>
      <c r="RH241" s="824"/>
      <c r="RI241" s="824"/>
      <c r="RJ241" s="824"/>
      <c r="RK241" s="824"/>
      <c r="RL241" s="824"/>
      <c r="RM241" s="824"/>
      <c r="RN241" s="824"/>
      <c r="RO241" s="824"/>
      <c r="RP241" s="824"/>
      <c r="RQ241" s="824"/>
      <c r="RR241" s="824"/>
      <c r="RS241" s="824"/>
      <c r="RT241" s="824"/>
      <c r="RU241" s="824"/>
      <c r="RV241" s="824"/>
      <c r="RW241" s="824"/>
      <c r="RX241" s="824"/>
      <c r="RY241" s="824"/>
      <c r="RZ241" s="824"/>
      <c r="SA241" s="824"/>
      <c r="SB241" s="824"/>
      <c r="SC241" s="824"/>
      <c r="SD241" s="824"/>
      <c r="SE241" s="824"/>
      <c r="SF241" s="824"/>
      <c r="SG241" s="824"/>
      <c r="SH241" s="824"/>
      <c r="SI241" s="824"/>
      <c r="SJ241" s="824"/>
      <c r="SK241" s="824"/>
      <c r="SL241" s="824"/>
      <c r="SM241" s="824"/>
      <c r="SN241" s="824"/>
      <c r="SO241" s="824"/>
      <c r="SP241" s="824"/>
      <c r="SQ241" s="824"/>
      <c r="SR241" s="824"/>
      <c r="SS241" s="824"/>
      <c r="ST241" s="824"/>
      <c r="SU241" s="824"/>
      <c r="SV241" s="824"/>
      <c r="SW241" s="824"/>
      <c r="SX241" s="824"/>
      <c r="SY241" s="824"/>
      <c r="SZ241" s="824"/>
      <c r="TA241" s="824"/>
      <c r="TB241" s="824"/>
      <c r="TC241" s="824"/>
      <c r="TD241" s="824"/>
      <c r="TE241" s="824"/>
      <c r="TF241" s="824"/>
      <c r="TG241" s="824"/>
      <c r="TH241" s="824"/>
      <c r="TI241" s="824"/>
      <c r="TJ241" s="824"/>
      <c r="TK241" s="824"/>
      <c r="TL241" s="824"/>
      <c r="TM241" s="824"/>
      <c r="TN241" s="824"/>
      <c r="TO241" s="824"/>
      <c r="TP241" s="824"/>
      <c r="TQ241" s="824"/>
      <c r="TR241" s="824"/>
      <c r="TS241" s="824"/>
      <c r="TT241" s="824"/>
      <c r="TU241" s="824"/>
      <c r="TV241" s="824"/>
      <c r="TW241" s="824"/>
      <c r="TX241" s="824"/>
      <c r="TY241" s="824"/>
      <c r="TZ241" s="824"/>
      <c r="UA241" s="824"/>
      <c r="UB241" s="824"/>
      <c r="UC241" s="824"/>
      <c r="UD241" s="824"/>
      <c r="UE241" s="824"/>
      <c r="UF241" s="824"/>
      <c r="UG241" s="824"/>
      <c r="UH241" s="824"/>
      <c r="UI241" s="824"/>
      <c r="UJ241" s="824"/>
      <c r="UK241" s="824"/>
      <c r="UL241" s="824"/>
      <c r="UM241" s="824"/>
      <c r="UN241" s="824"/>
      <c r="UO241" s="824"/>
      <c r="UP241" s="824"/>
      <c r="UQ241" s="824"/>
      <c r="UR241" s="824"/>
      <c r="US241" s="824"/>
      <c r="UT241" s="824"/>
      <c r="UU241" s="824"/>
      <c r="UV241" s="824"/>
      <c r="UW241" s="824"/>
      <c r="UX241" s="824"/>
      <c r="UY241" s="824"/>
      <c r="UZ241" s="824"/>
      <c r="VA241" s="824"/>
      <c r="VB241" s="824"/>
      <c r="VC241" s="824"/>
      <c r="VD241" s="824"/>
      <c r="VE241" s="824"/>
      <c r="VF241" s="824"/>
      <c r="VG241" s="824"/>
      <c r="VH241" s="824"/>
      <c r="VI241" s="824"/>
      <c r="VJ241" s="824"/>
      <c r="VK241" s="824"/>
      <c r="VL241" s="824"/>
      <c r="VM241" s="824"/>
      <c r="VN241" s="824"/>
      <c r="VO241" s="824"/>
      <c r="VP241" s="824"/>
      <c r="VQ241" s="824"/>
      <c r="VR241" s="824"/>
      <c r="VS241" s="824"/>
      <c r="VT241" s="824"/>
      <c r="VU241" s="824"/>
      <c r="VV241" s="824"/>
      <c r="VW241" s="824"/>
      <c r="VX241" s="824"/>
      <c r="VY241" s="824"/>
      <c r="VZ241" s="824"/>
      <c r="WA241" s="824"/>
      <c r="WB241" s="824"/>
      <c r="WC241" s="824"/>
      <c r="WD241" s="824"/>
      <c r="WE241" s="824"/>
      <c r="WF241" s="824"/>
      <c r="WG241" s="824"/>
      <c r="WH241" s="824"/>
      <c r="WI241" s="824"/>
      <c r="WJ241" s="824"/>
      <c r="WK241" s="824"/>
      <c r="WL241" s="824"/>
      <c r="WM241" s="824"/>
      <c r="WN241" s="824"/>
      <c r="WO241" s="824"/>
      <c r="WP241" s="824"/>
      <c r="WQ241" s="824"/>
      <c r="WR241" s="824"/>
      <c r="WS241" s="824"/>
      <c r="WT241" s="824"/>
      <c r="WU241" s="824"/>
      <c r="WV241" s="824"/>
      <c r="WW241" s="824"/>
      <c r="WX241" s="824"/>
      <c r="WY241" s="824"/>
      <c r="WZ241" s="824"/>
      <c r="XA241" s="824"/>
      <c r="XB241" s="824"/>
      <c r="XC241" s="824"/>
      <c r="XD241" s="824"/>
      <c r="XE241" s="824"/>
      <c r="XF241" s="824"/>
      <c r="XG241" s="824"/>
      <c r="XH241" s="824"/>
      <c r="XI241" s="824"/>
      <c r="XJ241" s="824"/>
      <c r="XK241" s="824"/>
      <c r="XL241" s="824"/>
      <c r="XM241" s="824"/>
      <c r="XN241" s="824"/>
      <c r="XO241" s="824"/>
      <c r="XP241" s="824"/>
      <c r="XQ241" s="824"/>
      <c r="XR241" s="824"/>
      <c r="XS241" s="824"/>
      <c r="XT241" s="824"/>
      <c r="XU241" s="824"/>
      <c r="XV241" s="824"/>
      <c r="XW241" s="824"/>
      <c r="XX241" s="824"/>
      <c r="XY241" s="824"/>
      <c r="XZ241" s="824"/>
      <c r="YA241" s="824"/>
      <c r="YB241" s="824"/>
      <c r="YC241" s="824"/>
      <c r="YD241" s="824"/>
      <c r="YE241" s="824"/>
      <c r="YF241" s="824"/>
      <c r="YG241" s="824"/>
      <c r="YH241" s="824"/>
      <c r="YI241" s="824"/>
      <c r="YJ241" s="824"/>
      <c r="YK241" s="824"/>
      <c r="YL241" s="824"/>
      <c r="YM241" s="824"/>
      <c r="YN241" s="824"/>
      <c r="YO241" s="824"/>
      <c r="YP241" s="824"/>
      <c r="YQ241" s="824"/>
      <c r="YR241" s="824"/>
      <c r="YS241" s="824"/>
      <c r="YT241" s="824"/>
      <c r="YU241" s="824"/>
      <c r="YV241" s="824"/>
      <c r="YW241" s="824"/>
      <c r="YX241" s="824"/>
      <c r="YY241" s="824"/>
      <c r="YZ241" s="824"/>
      <c r="ZA241" s="824"/>
      <c r="ZB241" s="824"/>
      <c r="ZC241" s="824"/>
      <c r="ZD241" s="824"/>
      <c r="ZE241" s="824"/>
      <c r="ZF241" s="824"/>
      <c r="ZG241" s="824"/>
      <c r="ZH241" s="824"/>
      <c r="ZI241" s="824"/>
      <c r="ZJ241" s="824"/>
      <c r="ZK241" s="824"/>
      <c r="ZL241" s="824"/>
      <c r="ZM241" s="824"/>
      <c r="ZN241" s="824"/>
      <c r="ZO241" s="824"/>
      <c r="ZP241" s="824"/>
      <c r="ZQ241" s="824"/>
      <c r="ZR241" s="824"/>
      <c r="ZS241" s="824"/>
      <c r="ZT241" s="824"/>
      <c r="ZU241" s="824"/>
      <c r="ZV241" s="824"/>
      <c r="ZW241" s="824"/>
      <c r="ZX241" s="824"/>
      <c r="ZY241" s="824"/>
      <c r="ZZ241" s="824"/>
      <c r="AAA241" s="824"/>
      <c r="AAB241" s="824"/>
      <c r="AAC241" s="824"/>
      <c r="AAD241" s="824"/>
      <c r="AAE241" s="824"/>
      <c r="AAF241" s="824"/>
      <c r="AAG241" s="824"/>
      <c r="AAH241" s="824"/>
      <c r="AAI241" s="824"/>
      <c r="AAJ241" s="824"/>
      <c r="AAK241" s="824"/>
      <c r="AAL241" s="824"/>
      <c r="AAM241" s="824"/>
      <c r="AAN241" s="824"/>
      <c r="AAO241" s="824"/>
      <c r="AAP241" s="824"/>
      <c r="AAQ241" s="824"/>
      <c r="AAR241" s="824"/>
      <c r="AAS241" s="824"/>
      <c r="AAT241" s="824"/>
      <c r="AAU241" s="824"/>
      <c r="AAV241" s="824"/>
      <c r="AAW241" s="824"/>
      <c r="AAX241" s="824"/>
      <c r="AAY241" s="824"/>
      <c r="AAZ241" s="824"/>
      <c r="ABA241" s="824"/>
      <c r="ABB241" s="824"/>
      <c r="ABC241" s="824"/>
      <c r="ABD241" s="824"/>
      <c r="ABE241" s="824"/>
      <c r="ABF241" s="824"/>
      <c r="ABG241" s="824"/>
      <c r="ABH241" s="824"/>
      <c r="ABI241" s="824"/>
      <c r="ABJ241" s="824"/>
      <c r="ABK241" s="824"/>
      <c r="ABL241" s="824"/>
      <c r="ABM241" s="824"/>
      <c r="ABN241" s="824"/>
      <c r="ABO241" s="824"/>
      <c r="ABP241" s="824"/>
      <c r="ABQ241" s="824"/>
      <c r="ABR241" s="824"/>
      <c r="ABS241" s="824"/>
      <c r="ABT241" s="824"/>
      <c r="ABU241" s="824"/>
      <c r="ABV241" s="824"/>
      <c r="ABW241" s="824"/>
      <c r="ABX241" s="824"/>
      <c r="ABY241" s="824"/>
      <c r="ABZ241" s="824"/>
      <c r="ACA241" s="824"/>
      <c r="ACB241" s="824"/>
      <c r="ACC241" s="824"/>
      <c r="ACD241" s="824"/>
      <c r="ACE241" s="824"/>
      <c r="ACF241" s="824"/>
      <c r="ACG241" s="824"/>
      <c r="ACH241" s="824"/>
      <c r="ACI241" s="824"/>
      <c r="ACJ241" s="824"/>
      <c r="ACK241" s="824"/>
      <c r="ACL241" s="824"/>
      <c r="ACM241" s="824"/>
      <c r="ACN241" s="824"/>
      <c r="ACO241" s="824"/>
      <c r="ACP241" s="824"/>
      <c r="ACQ241" s="824"/>
      <c r="ACR241" s="824"/>
      <c r="ACS241" s="824"/>
      <c r="ACT241" s="824"/>
      <c r="ACU241" s="824"/>
      <c r="ACV241" s="824"/>
      <c r="ACW241" s="824"/>
      <c r="ACX241" s="824"/>
      <c r="ACY241" s="824"/>
      <c r="ACZ241" s="824"/>
      <c r="ADA241" s="824"/>
      <c r="ADB241" s="824"/>
      <c r="ADC241" s="824"/>
      <c r="ADD241" s="824"/>
      <c r="ADE241" s="824"/>
      <c r="ADF241" s="824"/>
      <c r="ADG241" s="824"/>
      <c r="ADH241" s="824"/>
      <c r="ADI241" s="824"/>
      <c r="ADJ241" s="824"/>
      <c r="ADK241" s="824"/>
      <c r="ADL241" s="824"/>
      <c r="ADM241" s="824"/>
      <c r="ADN241" s="824"/>
      <c r="ADO241" s="824"/>
      <c r="ADP241" s="824"/>
      <c r="ADQ241" s="824"/>
      <c r="ADR241" s="824"/>
      <c r="ADS241" s="824"/>
      <c r="ADT241" s="824"/>
      <c r="ADU241" s="824"/>
      <c r="ADV241" s="824"/>
      <c r="ADW241" s="824"/>
      <c r="ADX241" s="824"/>
      <c r="ADY241" s="824"/>
      <c r="ADZ241" s="824"/>
      <c r="AEA241" s="824"/>
      <c r="AEB241" s="824"/>
      <c r="AEC241" s="824"/>
      <c r="AED241" s="824"/>
      <c r="AEE241" s="824"/>
      <c r="AEF241" s="824"/>
      <c r="AEG241" s="824"/>
      <c r="AEH241" s="824"/>
      <c r="AEI241" s="824"/>
      <c r="AEJ241" s="824"/>
      <c r="AEK241" s="824"/>
      <c r="AEL241" s="824"/>
      <c r="AEM241" s="824"/>
      <c r="AEN241" s="824"/>
      <c r="AEO241" s="824"/>
      <c r="AEP241" s="824"/>
      <c r="AEQ241" s="824"/>
      <c r="AER241" s="824"/>
      <c r="AES241" s="824"/>
      <c r="AET241" s="824"/>
      <c r="AEU241" s="824"/>
      <c r="AEV241" s="824"/>
      <c r="AEW241" s="824"/>
      <c r="AEX241" s="824"/>
      <c r="AEY241" s="824"/>
      <c r="AEZ241" s="824"/>
      <c r="AFA241" s="824"/>
      <c r="AFB241" s="824"/>
      <c r="AFC241" s="824"/>
      <c r="AFD241" s="824"/>
      <c r="AFE241" s="824"/>
      <c r="AFF241" s="824"/>
      <c r="AFG241" s="824"/>
      <c r="AFH241" s="824"/>
      <c r="AFI241" s="824"/>
      <c r="AFJ241" s="824"/>
      <c r="AFK241" s="824"/>
      <c r="AFL241" s="824"/>
      <c r="AFM241" s="824"/>
      <c r="AFN241" s="824"/>
      <c r="AFO241" s="824"/>
      <c r="AFP241" s="824"/>
      <c r="AFQ241" s="824"/>
      <c r="AFR241" s="824"/>
      <c r="AFS241" s="824"/>
      <c r="AFT241" s="824"/>
      <c r="AFU241" s="824"/>
      <c r="AFV241" s="824"/>
      <c r="AFW241" s="824"/>
      <c r="AFX241" s="824"/>
      <c r="AFY241" s="824"/>
      <c r="AFZ241" s="824"/>
      <c r="AGA241" s="824"/>
      <c r="AGB241" s="824"/>
      <c r="AGC241" s="824"/>
      <c r="AGD241" s="824"/>
      <c r="AGE241" s="824"/>
      <c r="AGF241" s="824"/>
      <c r="AGG241" s="824"/>
      <c r="AGH241" s="824"/>
      <c r="AGI241" s="824"/>
      <c r="AGJ241" s="824"/>
    </row>
    <row r="242" spans="1:868" s="825" customFormat="1" hidden="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c r="U242" s="824"/>
      <c r="V242" s="824"/>
      <c r="W242" s="824"/>
      <c r="X242" s="824"/>
      <c r="Y242" s="824"/>
      <c r="Z242" s="824"/>
      <c r="AA242" s="824"/>
      <c r="AB242" s="824"/>
      <c r="AC242" s="824"/>
      <c r="AD242" s="824"/>
      <c r="AE242" s="824"/>
      <c r="AF242" s="824"/>
      <c r="AG242" s="824"/>
      <c r="AH242" s="824"/>
      <c r="AI242" s="824"/>
      <c r="AJ242" s="824"/>
      <c r="AK242" s="824"/>
      <c r="AL242" s="824"/>
      <c r="AM242" s="824"/>
      <c r="AN242" s="824"/>
      <c r="AO242" s="824"/>
      <c r="AP242" s="824"/>
      <c r="AQ242" s="824"/>
      <c r="AR242" s="824"/>
      <c r="AS242" s="824"/>
      <c r="AT242" s="824"/>
      <c r="AU242" s="824"/>
      <c r="AV242" s="824"/>
      <c r="AW242" s="824"/>
      <c r="AX242" s="824"/>
      <c r="AY242" s="824"/>
      <c r="AZ242" s="824"/>
      <c r="BA242" s="824"/>
      <c r="BB242" s="824"/>
      <c r="BC242" s="824"/>
      <c r="BD242" s="824"/>
      <c r="BE242" s="824"/>
      <c r="BF242" s="824"/>
      <c r="BG242" s="824"/>
      <c r="BH242" s="824"/>
      <c r="BI242" s="824"/>
      <c r="BJ242" s="824"/>
      <c r="BK242" s="824"/>
      <c r="BL242" s="824"/>
      <c r="BM242" s="824"/>
      <c r="BN242" s="824"/>
      <c r="BO242" s="824"/>
      <c r="BP242" s="824"/>
      <c r="BQ242" s="824"/>
      <c r="BR242" s="824"/>
      <c r="BS242" s="824"/>
      <c r="BT242" s="824"/>
      <c r="BU242" s="824"/>
      <c r="BV242" s="824"/>
      <c r="BW242" s="824"/>
      <c r="BX242" s="824"/>
      <c r="BY242" s="824"/>
      <c r="BZ242" s="824"/>
      <c r="CA242" s="824"/>
      <c r="CB242" s="824"/>
      <c r="CC242" s="824"/>
      <c r="CD242" s="824"/>
      <c r="CE242" s="824"/>
      <c r="CF242" s="824"/>
      <c r="CG242" s="824"/>
      <c r="CH242" s="824"/>
      <c r="CI242" s="824"/>
      <c r="CJ242" s="824"/>
      <c r="CK242" s="824"/>
      <c r="CL242" s="824"/>
      <c r="CM242" s="824"/>
      <c r="CN242" s="824"/>
      <c r="CO242" s="824"/>
      <c r="CP242" s="824"/>
      <c r="CQ242" s="824"/>
      <c r="CR242" s="824"/>
      <c r="CS242" s="824"/>
      <c r="CT242" s="824"/>
      <c r="CU242" s="824"/>
      <c r="CV242" s="824"/>
      <c r="CW242" s="824"/>
      <c r="CX242" s="824"/>
      <c r="CY242" s="824"/>
      <c r="CZ242" s="824"/>
      <c r="DA242" s="824"/>
      <c r="DB242" s="824"/>
      <c r="DC242" s="824"/>
      <c r="DD242" s="824"/>
      <c r="DE242" s="824"/>
      <c r="DF242" s="824"/>
      <c r="DG242" s="824"/>
      <c r="DH242" s="824"/>
      <c r="DI242" s="824"/>
      <c r="DJ242" s="824"/>
      <c r="DK242" s="824"/>
      <c r="DL242" s="824"/>
      <c r="DM242" s="824"/>
      <c r="DN242" s="824"/>
      <c r="DO242" s="824"/>
      <c r="DP242" s="824"/>
      <c r="DQ242" s="824"/>
      <c r="DR242" s="824"/>
      <c r="DS242" s="824"/>
      <c r="DT242" s="824"/>
      <c r="DU242" s="824"/>
      <c r="DV242" s="824"/>
      <c r="DW242" s="824"/>
      <c r="DX242" s="824"/>
      <c r="DY242" s="824"/>
      <c r="DZ242" s="824"/>
      <c r="EA242" s="824"/>
      <c r="EB242" s="824"/>
      <c r="EC242" s="824"/>
      <c r="ED242" s="824"/>
      <c r="EE242" s="824"/>
      <c r="EF242" s="824"/>
      <c r="EG242" s="824"/>
      <c r="EH242" s="824"/>
      <c r="EI242" s="824"/>
      <c r="EJ242" s="824"/>
      <c r="EK242" s="824"/>
      <c r="EL242" s="824"/>
      <c r="EM242" s="824"/>
      <c r="EN242" s="824"/>
      <c r="EO242" s="824"/>
      <c r="EP242" s="824"/>
      <c r="EQ242" s="824"/>
      <c r="ER242" s="824"/>
      <c r="ES242" s="824"/>
      <c r="ET242" s="824"/>
      <c r="EU242" s="824"/>
      <c r="EV242" s="824"/>
      <c r="EW242" s="824"/>
      <c r="EX242" s="824"/>
      <c r="EY242" s="824"/>
      <c r="EZ242" s="824"/>
      <c r="FA242" s="824"/>
      <c r="FB242" s="824"/>
      <c r="FC242" s="824"/>
      <c r="FD242" s="824"/>
      <c r="FE242" s="824"/>
      <c r="FF242" s="824"/>
      <c r="FG242" s="824"/>
      <c r="FH242" s="824"/>
      <c r="FI242" s="824"/>
      <c r="FJ242" s="824"/>
      <c r="FK242" s="824"/>
      <c r="FL242" s="824"/>
      <c r="FM242" s="824"/>
      <c r="FN242" s="824"/>
      <c r="FO242" s="824"/>
      <c r="FP242" s="824"/>
      <c r="FQ242" s="824"/>
      <c r="FR242" s="824"/>
      <c r="FS242" s="824"/>
      <c r="FT242" s="824"/>
      <c r="FU242" s="824"/>
      <c r="FV242" s="824"/>
      <c r="FW242" s="824"/>
      <c r="FX242" s="824"/>
      <c r="FY242" s="824"/>
      <c r="FZ242" s="824"/>
      <c r="GA242" s="824"/>
      <c r="GB242" s="824"/>
      <c r="GC242" s="824"/>
      <c r="GD242" s="824"/>
      <c r="GE242" s="824"/>
      <c r="GF242" s="824"/>
      <c r="GG242" s="824"/>
      <c r="GH242" s="824"/>
      <c r="GI242" s="824"/>
      <c r="GJ242" s="824"/>
      <c r="GK242" s="824"/>
      <c r="GL242" s="824"/>
      <c r="GM242" s="824"/>
      <c r="GN242" s="824"/>
      <c r="GO242" s="824"/>
      <c r="GP242" s="824"/>
      <c r="GQ242" s="824"/>
      <c r="GR242" s="824"/>
      <c r="GS242" s="824"/>
      <c r="GT242" s="824"/>
      <c r="GU242" s="824"/>
      <c r="GV242" s="824"/>
      <c r="GW242" s="824"/>
      <c r="GX242" s="824"/>
      <c r="GY242" s="824"/>
      <c r="GZ242" s="824"/>
      <c r="HA242" s="824"/>
      <c r="HB242" s="824"/>
      <c r="HC242" s="824"/>
      <c r="HD242" s="824"/>
      <c r="HE242" s="824"/>
      <c r="HF242" s="824"/>
      <c r="HG242" s="824"/>
      <c r="HH242" s="824"/>
      <c r="HI242" s="824"/>
      <c r="HJ242" s="824"/>
      <c r="HK242" s="824"/>
      <c r="HL242" s="824"/>
      <c r="HM242" s="824"/>
      <c r="HN242" s="824"/>
      <c r="HO242" s="824"/>
      <c r="HP242" s="824"/>
      <c r="HQ242" s="824"/>
      <c r="HR242" s="824"/>
      <c r="HS242" s="824"/>
      <c r="HT242" s="824"/>
      <c r="HU242" s="824"/>
      <c r="HV242" s="824"/>
      <c r="HW242" s="824"/>
      <c r="HX242" s="824"/>
      <c r="HY242" s="824"/>
      <c r="HZ242" s="824"/>
      <c r="IA242" s="824"/>
      <c r="IB242" s="824"/>
      <c r="IC242" s="824"/>
      <c r="ID242" s="824"/>
      <c r="IE242" s="824"/>
      <c r="IF242" s="824"/>
      <c r="IG242" s="824"/>
      <c r="IH242" s="824"/>
      <c r="II242" s="824"/>
      <c r="IJ242" s="824"/>
      <c r="IK242" s="824"/>
      <c r="IL242" s="824"/>
      <c r="IM242" s="824"/>
      <c r="IN242" s="824"/>
      <c r="IO242" s="824"/>
      <c r="IP242" s="824"/>
      <c r="IQ242" s="824"/>
      <c r="IR242" s="824"/>
      <c r="IS242" s="824"/>
      <c r="IT242" s="824"/>
      <c r="IU242" s="824"/>
      <c r="IV242" s="824"/>
      <c r="IW242" s="824"/>
      <c r="IX242" s="824"/>
      <c r="IY242" s="824"/>
      <c r="IZ242" s="824"/>
      <c r="JA242" s="824"/>
      <c r="JB242" s="824"/>
      <c r="JC242" s="824"/>
      <c r="JD242" s="824"/>
      <c r="JE242" s="824"/>
      <c r="JF242" s="824"/>
      <c r="JG242" s="824"/>
      <c r="JH242" s="824"/>
      <c r="JI242" s="824"/>
      <c r="JJ242" s="824"/>
      <c r="JK242" s="824"/>
      <c r="JL242" s="824"/>
      <c r="JM242" s="824"/>
      <c r="JN242" s="824"/>
      <c r="JO242" s="824"/>
      <c r="JP242" s="824"/>
      <c r="JQ242" s="824"/>
      <c r="JR242" s="824"/>
      <c r="JS242" s="824"/>
      <c r="JT242" s="824"/>
      <c r="JU242" s="824"/>
      <c r="JV242" s="824"/>
      <c r="JW242" s="824"/>
      <c r="JX242" s="824"/>
      <c r="JY242" s="824"/>
      <c r="JZ242" s="824"/>
      <c r="KA242" s="824"/>
      <c r="KB242" s="824"/>
      <c r="KC242" s="824"/>
      <c r="KD242" s="824"/>
      <c r="KE242" s="824"/>
      <c r="KF242" s="824"/>
      <c r="KG242" s="824"/>
      <c r="KH242" s="824"/>
      <c r="KI242" s="824"/>
      <c r="KJ242" s="824"/>
      <c r="KK242" s="824"/>
      <c r="KL242" s="824"/>
      <c r="KM242" s="824"/>
      <c r="KN242" s="824"/>
      <c r="KO242" s="824"/>
      <c r="KP242" s="824"/>
      <c r="KQ242" s="824"/>
      <c r="KR242" s="824"/>
      <c r="KS242" s="824"/>
      <c r="KT242" s="824"/>
      <c r="KU242" s="824"/>
      <c r="KV242" s="824"/>
      <c r="KW242" s="824"/>
      <c r="KX242" s="824"/>
      <c r="KY242" s="824"/>
      <c r="KZ242" s="824"/>
      <c r="LA242" s="824"/>
      <c r="LB242" s="824"/>
      <c r="LC242" s="824"/>
      <c r="LD242" s="824"/>
      <c r="LE242" s="824"/>
      <c r="LF242" s="824"/>
      <c r="LG242" s="824"/>
      <c r="LH242" s="824"/>
      <c r="LI242" s="824"/>
      <c r="LJ242" s="824"/>
      <c r="LK242" s="824"/>
      <c r="LL242" s="824"/>
      <c r="LM242" s="824"/>
      <c r="LN242" s="824"/>
      <c r="LO242" s="824"/>
      <c r="LP242" s="824"/>
      <c r="LQ242" s="824"/>
      <c r="LR242" s="824"/>
      <c r="LS242" s="824"/>
      <c r="LT242" s="824"/>
      <c r="LU242" s="824"/>
      <c r="LV242" s="824"/>
      <c r="LW242" s="824"/>
      <c r="LX242" s="824"/>
      <c r="LY242" s="824"/>
      <c r="LZ242" s="824"/>
      <c r="MA242" s="824"/>
      <c r="MB242" s="824"/>
      <c r="MC242" s="824"/>
      <c r="MD242" s="824"/>
      <c r="ME242" s="824"/>
      <c r="MF242" s="824"/>
      <c r="MG242" s="824"/>
      <c r="MH242" s="824"/>
      <c r="MI242" s="824"/>
      <c r="MJ242" s="824"/>
      <c r="MK242" s="824"/>
      <c r="ML242" s="824"/>
      <c r="MM242" s="824"/>
      <c r="MN242" s="824"/>
      <c r="MO242" s="824"/>
      <c r="MP242" s="824"/>
      <c r="MQ242" s="824"/>
      <c r="MR242" s="824"/>
      <c r="MS242" s="824"/>
      <c r="MT242" s="824"/>
      <c r="MU242" s="824"/>
      <c r="MV242" s="824"/>
      <c r="MW242" s="824"/>
      <c r="MX242" s="824"/>
      <c r="MY242" s="824"/>
      <c r="MZ242" s="824"/>
      <c r="NA242" s="824"/>
      <c r="NB242" s="824"/>
      <c r="NC242" s="824"/>
      <c r="ND242" s="824"/>
      <c r="NE242" s="824"/>
      <c r="NF242" s="824"/>
      <c r="NG242" s="824"/>
      <c r="NH242" s="824"/>
      <c r="NI242" s="824"/>
      <c r="NJ242" s="824"/>
      <c r="NK242" s="824"/>
      <c r="NL242" s="824"/>
      <c r="NM242" s="824"/>
      <c r="NN242" s="824"/>
      <c r="NO242" s="824"/>
      <c r="NP242" s="824"/>
      <c r="NQ242" s="824"/>
      <c r="NR242" s="824"/>
      <c r="NS242" s="824"/>
      <c r="NT242" s="824"/>
      <c r="NU242" s="824"/>
      <c r="NV242" s="824"/>
      <c r="NW242" s="824"/>
      <c r="NX242" s="824"/>
      <c r="NY242" s="824"/>
      <c r="NZ242" s="824"/>
      <c r="OA242" s="824"/>
      <c r="OB242" s="824"/>
      <c r="OC242" s="824"/>
      <c r="OD242" s="824"/>
      <c r="OE242" s="824"/>
      <c r="OF242" s="824"/>
      <c r="OG242" s="824"/>
      <c r="OH242" s="824"/>
      <c r="OI242" s="824"/>
      <c r="OJ242" s="824"/>
      <c r="OK242" s="824"/>
      <c r="OL242" s="824"/>
      <c r="OM242" s="824"/>
      <c r="ON242" s="824"/>
      <c r="OO242" s="824"/>
      <c r="OP242" s="824"/>
      <c r="OQ242" s="824"/>
      <c r="OR242" s="824"/>
      <c r="OS242" s="824"/>
      <c r="OT242" s="824"/>
      <c r="OU242" s="824"/>
      <c r="OV242" s="824"/>
      <c r="OW242" s="824"/>
      <c r="OX242" s="824"/>
      <c r="OY242" s="824"/>
      <c r="OZ242" s="824"/>
      <c r="PA242" s="824"/>
      <c r="PB242" s="824"/>
      <c r="PC242" s="824"/>
      <c r="PD242" s="824"/>
      <c r="PE242" s="824"/>
      <c r="PF242" s="824"/>
      <c r="PG242" s="824"/>
      <c r="PH242" s="824"/>
      <c r="PI242" s="824"/>
      <c r="PJ242" s="824"/>
      <c r="PK242" s="824"/>
      <c r="PL242" s="824"/>
      <c r="PM242" s="824"/>
      <c r="PN242" s="824"/>
      <c r="PO242" s="824"/>
      <c r="PP242" s="824"/>
      <c r="PQ242" s="824"/>
      <c r="PR242" s="824"/>
      <c r="PS242" s="824"/>
      <c r="PT242" s="824"/>
      <c r="PU242" s="824"/>
      <c r="PV242" s="824"/>
      <c r="PW242" s="824"/>
      <c r="PX242" s="824"/>
      <c r="PY242" s="824"/>
      <c r="PZ242" s="824"/>
      <c r="QA242" s="824"/>
      <c r="QB242" s="824"/>
      <c r="QC242" s="824"/>
      <c r="QD242" s="824"/>
      <c r="QE242" s="824"/>
      <c r="QF242" s="824"/>
      <c r="QG242" s="824"/>
      <c r="QH242" s="824"/>
      <c r="QI242" s="824"/>
      <c r="QJ242" s="824"/>
      <c r="QK242" s="824"/>
      <c r="QL242" s="824"/>
      <c r="QM242" s="824"/>
      <c r="QN242" s="824"/>
      <c r="QO242" s="824"/>
      <c r="QP242" s="824"/>
      <c r="QQ242" s="824"/>
      <c r="QR242" s="824"/>
      <c r="QS242" s="824"/>
      <c r="QT242" s="824"/>
      <c r="QU242" s="824"/>
      <c r="QV242" s="824"/>
      <c r="QW242" s="824"/>
      <c r="QX242" s="824"/>
      <c r="QY242" s="824"/>
      <c r="QZ242" s="824"/>
      <c r="RA242" s="824"/>
      <c r="RB242" s="824"/>
      <c r="RC242" s="824"/>
      <c r="RD242" s="824"/>
      <c r="RE242" s="824"/>
      <c r="RF242" s="824"/>
      <c r="RG242" s="824"/>
      <c r="RH242" s="824"/>
      <c r="RI242" s="824"/>
      <c r="RJ242" s="824"/>
      <c r="RK242" s="824"/>
      <c r="RL242" s="824"/>
      <c r="RM242" s="824"/>
      <c r="RN242" s="824"/>
      <c r="RO242" s="824"/>
      <c r="RP242" s="824"/>
      <c r="RQ242" s="824"/>
      <c r="RR242" s="824"/>
      <c r="RS242" s="824"/>
      <c r="RT242" s="824"/>
      <c r="RU242" s="824"/>
      <c r="RV242" s="824"/>
      <c r="RW242" s="824"/>
      <c r="RX242" s="824"/>
      <c r="RY242" s="824"/>
      <c r="RZ242" s="824"/>
      <c r="SA242" s="824"/>
      <c r="SB242" s="824"/>
      <c r="SC242" s="824"/>
      <c r="SD242" s="824"/>
      <c r="SE242" s="824"/>
      <c r="SF242" s="824"/>
      <c r="SG242" s="824"/>
      <c r="SH242" s="824"/>
      <c r="SI242" s="824"/>
      <c r="SJ242" s="824"/>
      <c r="SK242" s="824"/>
      <c r="SL242" s="824"/>
      <c r="SM242" s="824"/>
      <c r="SN242" s="824"/>
      <c r="SO242" s="824"/>
      <c r="SP242" s="824"/>
      <c r="SQ242" s="824"/>
      <c r="SR242" s="824"/>
      <c r="SS242" s="824"/>
      <c r="ST242" s="824"/>
      <c r="SU242" s="824"/>
      <c r="SV242" s="824"/>
      <c r="SW242" s="824"/>
      <c r="SX242" s="824"/>
      <c r="SY242" s="824"/>
      <c r="SZ242" s="824"/>
      <c r="TA242" s="824"/>
      <c r="TB242" s="824"/>
      <c r="TC242" s="824"/>
      <c r="TD242" s="824"/>
      <c r="TE242" s="824"/>
      <c r="TF242" s="824"/>
      <c r="TG242" s="824"/>
      <c r="TH242" s="824"/>
      <c r="TI242" s="824"/>
      <c r="TJ242" s="824"/>
      <c r="TK242" s="824"/>
      <c r="TL242" s="824"/>
      <c r="TM242" s="824"/>
      <c r="TN242" s="824"/>
      <c r="TO242" s="824"/>
      <c r="TP242" s="824"/>
      <c r="TQ242" s="824"/>
      <c r="TR242" s="824"/>
      <c r="TS242" s="824"/>
      <c r="TT242" s="824"/>
      <c r="TU242" s="824"/>
      <c r="TV242" s="824"/>
      <c r="TW242" s="824"/>
      <c r="TX242" s="824"/>
      <c r="TY242" s="824"/>
      <c r="TZ242" s="824"/>
      <c r="UA242" s="824"/>
      <c r="UB242" s="824"/>
      <c r="UC242" s="824"/>
      <c r="UD242" s="824"/>
      <c r="UE242" s="824"/>
      <c r="UF242" s="824"/>
      <c r="UG242" s="824"/>
      <c r="UH242" s="824"/>
      <c r="UI242" s="824"/>
      <c r="UJ242" s="824"/>
      <c r="UK242" s="824"/>
      <c r="UL242" s="824"/>
      <c r="UM242" s="824"/>
      <c r="UN242" s="824"/>
      <c r="UO242" s="824"/>
      <c r="UP242" s="824"/>
      <c r="UQ242" s="824"/>
      <c r="UR242" s="824"/>
      <c r="US242" s="824"/>
      <c r="UT242" s="824"/>
      <c r="UU242" s="824"/>
      <c r="UV242" s="824"/>
      <c r="UW242" s="824"/>
      <c r="UX242" s="824"/>
      <c r="UY242" s="824"/>
      <c r="UZ242" s="824"/>
      <c r="VA242" s="824"/>
      <c r="VB242" s="824"/>
      <c r="VC242" s="824"/>
      <c r="VD242" s="824"/>
      <c r="VE242" s="824"/>
      <c r="VF242" s="824"/>
      <c r="VG242" s="824"/>
      <c r="VH242" s="824"/>
      <c r="VI242" s="824"/>
      <c r="VJ242" s="824"/>
      <c r="VK242" s="824"/>
      <c r="VL242" s="824"/>
      <c r="VM242" s="824"/>
      <c r="VN242" s="824"/>
      <c r="VO242" s="824"/>
      <c r="VP242" s="824"/>
      <c r="VQ242" s="824"/>
      <c r="VR242" s="824"/>
      <c r="VS242" s="824"/>
      <c r="VT242" s="824"/>
      <c r="VU242" s="824"/>
      <c r="VV242" s="824"/>
      <c r="VW242" s="824"/>
      <c r="VX242" s="824"/>
      <c r="VY242" s="824"/>
      <c r="VZ242" s="824"/>
      <c r="WA242" s="824"/>
      <c r="WB242" s="824"/>
      <c r="WC242" s="824"/>
      <c r="WD242" s="824"/>
      <c r="WE242" s="824"/>
      <c r="WF242" s="824"/>
      <c r="WG242" s="824"/>
      <c r="WH242" s="824"/>
      <c r="WI242" s="824"/>
      <c r="WJ242" s="824"/>
      <c r="WK242" s="824"/>
      <c r="WL242" s="824"/>
      <c r="WM242" s="824"/>
      <c r="WN242" s="824"/>
      <c r="WO242" s="824"/>
      <c r="WP242" s="824"/>
      <c r="WQ242" s="824"/>
      <c r="WR242" s="824"/>
      <c r="WS242" s="824"/>
      <c r="WT242" s="824"/>
      <c r="WU242" s="824"/>
      <c r="WV242" s="824"/>
      <c r="WW242" s="824"/>
      <c r="WX242" s="824"/>
      <c r="WY242" s="824"/>
      <c r="WZ242" s="824"/>
      <c r="XA242" s="824"/>
      <c r="XB242" s="824"/>
      <c r="XC242" s="824"/>
      <c r="XD242" s="824"/>
      <c r="XE242" s="824"/>
      <c r="XF242" s="824"/>
      <c r="XG242" s="824"/>
      <c r="XH242" s="824"/>
      <c r="XI242" s="824"/>
      <c r="XJ242" s="824"/>
      <c r="XK242" s="824"/>
      <c r="XL242" s="824"/>
      <c r="XM242" s="824"/>
      <c r="XN242" s="824"/>
      <c r="XO242" s="824"/>
      <c r="XP242" s="824"/>
      <c r="XQ242" s="824"/>
      <c r="XR242" s="824"/>
      <c r="XS242" s="824"/>
      <c r="XT242" s="824"/>
      <c r="XU242" s="824"/>
      <c r="XV242" s="824"/>
      <c r="XW242" s="824"/>
      <c r="XX242" s="824"/>
      <c r="XY242" s="824"/>
      <c r="XZ242" s="824"/>
      <c r="YA242" s="824"/>
      <c r="YB242" s="824"/>
      <c r="YC242" s="824"/>
      <c r="YD242" s="824"/>
      <c r="YE242" s="824"/>
      <c r="YF242" s="824"/>
      <c r="YG242" s="824"/>
      <c r="YH242" s="824"/>
      <c r="YI242" s="824"/>
      <c r="YJ242" s="824"/>
      <c r="YK242" s="824"/>
      <c r="YL242" s="824"/>
      <c r="YM242" s="824"/>
      <c r="YN242" s="824"/>
      <c r="YO242" s="824"/>
      <c r="YP242" s="824"/>
      <c r="YQ242" s="824"/>
      <c r="YR242" s="824"/>
      <c r="YS242" s="824"/>
      <c r="YT242" s="824"/>
      <c r="YU242" s="824"/>
      <c r="YV242" s="824"/>
      <c r="YW242" s="824"/>
      <c r="YX242" s="824"/>
      <c r="YY242" s="824"/>
      <c r="YZ242" s="824"/>
      <c r="ZA242" s="824"/>
      <c r="ZB242" s="824"/>
      <c r="ZC242" s="824"/>
      <c r="ZD242" s="824"/>
      <c r="ZE242" s="824"/>
      <c r="ZF242" s="824"/>
      <c r="ZG242" s="824"/>
      <c r="ZH242" s="824"/>
      <c r="ZI242" s="824"/>
      <c r="ZJ242" s="824"/>
      <c r="ZK242" s="824"/>
      <c r="ZL242" s="824"/>
      <c r="ZM242" s="824"/>
      <c r="ZN242" s="824"/>
      <c r="ZO242" s="824"/>
      <c r="ZP242" s="824"/>
      <c r="ZQ242" s="824"/>
      <c r="ZR242" s="824"/>
      <c r="ZS242" s="824"/>
      <c r="ZT242" s="824"/>
      <c r="ZU242" s="824"/>
      <c r="ZV242" s="824"/>
      <c r="ZW242" s="824"/>
      <c r="ZX242" s="824"/>
      <c r="ZY242" s="824"/>
      <c r="ZZ242" s="824"/>
      <c r="AAA242" s="824"/>
      <c r="AAB242" s="824"/>
      <c r="AAC242" s="824"/>
      <c r="AAD242" s="824"/>
      <c r="AAE242" s="824"/>
      <c r="AAF242" s="824"/>
      <c r="AAG242" s="824"/>
      <c r="AAH242" s="824"/>
      <c r="AAI242" s="824"/>
      <c r="AAJ242" s="824"/>
      <c r="AAK242" s="824"/>
      <c r="AAL242" s="824"/>
      <c r="AAM242" s="824"/>
      <c r="AAN242" s="824"/>
      <c r="AAO242" s="824"/>
      <c r="AAP242" s="824"/>
      <c r="AAQ242" s="824"/>
      <c r="AAR242" s="824"/>
      <c r="AAS242" s="824"/>
      <c r="AAT242" s="824"/>
      <c r="AAU242" s="824"/>
      <c r="AAV242" s="824"/>
      <c r="AAW242" s="824"/>
      <c r="AAX242" s="824"/>
      <c r="AAY242" s="824"/>
      <c r="AAZ242" s="824"/>
      <c r="ABA242" s="824"/>
      <c r="ABB242" s="824"/>
      <c r="ABC242" s="824"/>
      <c r="ABD242" s="824"/>
      <c r="ABE242" s="824"/>
      <c r="ABF242" s="824"/>
      <c r="ABG242" s="824"/>
      <c r="ABH242" s="824"/>
      <c r="ABI242" s="824"/>
      <c r="ABJ242" s="824"/>
      <c r="ABK242" s="824"/>
      <c r="ABL242" s="824"/>
      <c r="ABM242" s="824"/>
      <c r="ABN242" s="824"/>
      <c r="ABO242" s="824"/>
      <c r="ABP242" s="824"/>
      <c r="ABQ242" s="824"/>
      <c r="ABR242" s="824"/>
      <c r="ABS242" s="824"/>
      <c r="ABT242" s="824"/>
      <c r="ABU242" s="824"/>
      <c r="ABV242" s="824"/>
      <c r="ABW242" s="824"/>
      <c r="ABX242" s="824"/>
      <c r="ABY242" s="824"/>
      <c r="ABZ242" s="824"/>
      <c r="ACA242" s="824"/>
      <c r="ACB242" s="824"/>
      <c r="ACC242" s="824"/>
      <c r="ACD242" s="824"/>
      <c r="ACE242" s="824"/>
      <c r="ACF242" s="824"/>
      <c r="ACG242" s="824"/>
      <c r="ACH242" s="824"/>
      <c r="ACI242" s="824"/>
      <c r="ACJ242" s="824"/>
      <c r="ACK242" s="824"/>
      <c r="ACL242" s="824"/>
      <c r="ACM242" s="824"/>
      <c r="ACN242" s="824"/>
      <c r="ACO242" s="824"/>
      <c r="ACP242" s="824"/>
      <c r="ACQ242" s="824"/>
      <c r="ACR242" s="824"/>
      <c r="ACS242" s="824"/>
      <c r="ACT242" s="824"/>
      <c r="ACU242" s="824"/>
      <c r="ACV242" s="824"/>
      <c r="ACW242" s="824"/>
      <c r="ACX242" s="824"/>
      <c r="ACY242" s="824"/>
      <c r="ACZ242" s="824"/>
      <c r="ADA242" s="824"/>
      <c r="ADB242" s="824"/>
      <c r="ADC242" s="824"/>
      <c r="ADD242" s="824"/>
      <c r="ADE242" s="824"/>
      <c r="ADF242" s="824"/>
      <c r="ADG242" s="824"/>
      <c r="ADH242" s="824"/>
      <c r="ADI242" s="824"/>
      <c r="ADJ242" s="824"/>
      <c r="ADK242" s="824"/>
      <c r="ADL242" s="824"/>
      <c r="ADM242" s="824"/>
      <c r="ADN242" s="824"/>
      <c r="ADO242" s="824"/>
      <c r="ADP242" s="824"/>
      <c r="ADQ242" s="824"/>
      <c r="ADR242" s="824"/>
      <c r="ADS242" s="824"/>
      <c r="ADT242" s="824"/>
      <c r="ADU242" s="824"/>
      <c r="ADV242" s="824"/>
      <c r="ADW242" s="824"/>
      <c r="ADX242" s="824"/>
      <c r="ADY242" s="824"/>
      <c r="ADZ242" s="824"/>
      <c r="AEA242" s="824"/>
      <c r="AEB242" s="824"/>
      <c r="AEC242" s="824"/>
      <c r="AED242" s="824"/>
      <c r="AEE242" s="824"/>
      <c r="AEF242" s="824"/>
      <c r="AEG242" s="824"/>
      <c r="AEH242" s="824"/>
      <c r="AEI242" s="824"/>
      <c r="AEJ242" s="824"/>
      <c r="AEK242" s="824"/>
      <c r="AEL242" s="824"/>
      <c r="AEM242" s="824"/>
      <c r="AEN242" s="824"/>
      <c r="AEO242" s="824"/>
      <c r="AEP242" s="824"/>
      <c r="AEQ242" s="824"/>
      <c r="AER242" s="824"/>
      <c r="AES242" s="824"/>
      <c r="AET242" s="824"/>
      <c r="AEU242" s="824"/>
      <c r="AEV242" s="824"/>
      <c r="AEW242" s="824"/>
      <c r="AEX242" s="824"/>
      <c r="AEY242" s="824"/>
      <c r="AEZ242" s="824"/>
      <c r="AFA242" s="824"/>
      <c r="AFB242" s="824"/>
      <c r="AFC242" s="824"/>
      <c r="AFD242" s="824"/>
      <c r="AFE242" s="824"/>
      <c r="AFF242" s="824"/>
      <c r="AFG242" s="824"/>
      <c r="AFH242" s="824"/>
      <c r="AFI242" s="824"/>
      <c r="AFJ242" s="824"/>
      <c r="AFK242" s="824"/>
      <c r="AFL242" s="824"/>
      <c r="AFM242" s="824"/>
      <c r="AFN242" s="824"/>
      <c r="AFO242" s="824"/>
      <c r="AFP242" s="824"/>
      <c r="AFQ242" s="824"/>
      <c r="AFR242" s="824"/>
      <c r="AFS242" s="824"/>
      <c r="AFT242" s="824"/>
      <c r="AFU242" s="824"/>
      <c r="AFV242" s="824"/>
      <c r="AFW242" s="824"/>
      <c r="AFX242" s="824"/>
      <c r="AFY242" s="824"/>
      <c r="AFZ242" s="824"/>
      <c r="AGA242" s="824"/>
      <c r="AGB242" s="824"/>
      <c r="AGC242" s="824"/>
      <c r="AGD242" s="824"/>
      <c r="AGE242" s="824"/>
      <c r="AGF242" s="824"/>
      <c r="AGG242" s="824"/>
      <c r="AGH242" s="824"/>
      <c r="AGI242" s="824"/>
      <c r="AGJ242" s="824"/>
    </row>
    <row r="243" spans="1:868" s="825" customFormat="1" hidden="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c r="AX243" s="824"/>
      <c r="AY243" s="824"/>
      <c r="AZ243" s="824"/>
      <c r="BA243" s="824"/>
      <c r="BB243" s="824"/>
      <c r="BC243" s="824"/>
      <c r="BD243" s="824"/>
      <c r="BE243" s="824"/>
      <c r="BF243" s="824"/>
      <c r="BG243" s="824"/>
      <c r="BH243" s="824"/>
      <c r="BI243" s="824"/>
      <c r="BJ243" s="824"/>
      <c r="BK243" s="824"/>
      <c r="BL243" s="824"/>
      <c r="BM243" s="824"/>
      <c r="BN243" s="824"/>
      <c r="BO243" s="824"/>
      <c r="BP243" s="824"/>
      <c r="BQ243" s="824"/>
      <c r="BR243" s="824"/>
      <c r="BS243" s="824"/>
      <c r="BT243" s="824"/>
      <c r="BU243" s="824"/>
      <c r="BV243" s="824"/>
      <c r="BW243" s="824"/>
      <c r="BX243" s="824"/>
      <c r="BY243" s="824"/>
      <c r="BZ243" s="824"/>
      <c r="CA243" s="824"/>
      <c r="CB243" s="824"/>
      <c r="CC243" s="824"/>
      <c r="CD243" s="824"/>
      <c r="CE243" s="824"/>
      <c r="CF243" s="824"/>
      <c r="CG243" s="824"/>
      <c r="CH243" s="824"/>
      <c r="CI243" s="824"/>
      <c r="CJ243" s="824"/>
      <c r="CK243" s="824"/>
      <c r="CL243" s="824"/>
      <c r="CM243" s="824"/>
      <c r="CN243" s="824"/>
      <c r="CO243" s="824"/>
      <c r="CP243" s="824"/>
      <c r="CQ243" s="824"/>
      <c r="CR243" s="824"/>
      <c r="CS243" s="824"/>
      <c r="CT243" s="824"/>
      <c r="CU243" s="824"/>
      <c r="CV243" s="824"/>
      <c r="CW243" s="824"/>
      <c r="CX243" s="824"/>
      <c r="CY243" s="824"/>
      <c r="CZ243" s="824"/>
      <c r="DA243" s="824"/>
      <c r="DB243" s="824"/>
      <c r="DC243" s="824"/>
      <c r="DD243" s="824"/>
      <c r="DE243" s="824"/>
      <c r="DF243" s="824"/>
      <c r="DG243" s="824"/>
      <c r="DH243" s="824"/>
      <c r="DI243" s="824"/>
      <c r="DJ243" s="824"/>
      <c r="DK243" s="824"/>
      <c r="DL243" s="824"/>
      <c r="DM243" s="824"/>
      <c r="DN243" s="824"/>
      <c r="DO243" s="824"/>
      <c r="DP243" s="824"/>
      <c r="DQ243" s="824"/>
      <c r="DR243" s="824"/>
      <c r="DS243" s="824"/>
      <c r="DT243" s="824"/>
      <c r="DU243" s="824"/>
      <c r="DV243" s="824"/>
      <c r="DW243" s="824"/>
      <c r="DX243" s="824"/>
      <c r="DY243" s="824"/>
      <c r="DZ243" s="824"/>
      <c r="EA243" s="824"/>
      <c r="EB243" s="824"/>
      <c r="EC243" s="824"/>
      <c r="ED243" s="824"/>
      <c r="EE243" s="824"/>
      <c r="EF243" s="824"/>
      <c r="EG243" s="824"/>
      <c r="EH243" s="824"/>
      <c r="EI243" s="824"/>
      <c r="EJ243" s="824"/>
      <c r="EK243" s="824"/>
      <c r="EL243" s="824"/>
      <c r="EM243" s="824"/>
      <c r="EN243" s="824"/>
      <c r="EO243" s="824"/>
      <c r="EP243" s="824"/>
      <c r="EQ243" s="824"/>
      <c r="ER243" s="824"/>
      <c r="ES243" s="824"/>
      <c r="ET243" s="824"/>
      <c r="EU243" s="824"/>
      <c r="EV243" s="824"/>
      <c r="EW243" s="824"/>
      <c r="EX243" s="824"/>
      <c r="EY243" s="824"/>
      <c r="EZ243" s="824"/>
      <c r="FA243" s="824"/>
      <c r="FB243" s="824"/>
      <c r="FC243" s="824"/>
      <c r="FD243" s="824"/>
      <c r="FE243" s="824"/>
      <c r="FF243" s="824"/>
      <c r="FG243" s="824"/>
      <c r="FH243" s="824"/>
      <c r="FI243" s="824"/>
      <c r="FJ243" s="824"/>
      <c r="FK243" s="824"/>
      <c r="FL243" s="824"/>
      <c r="FM243" s="824"/>
      <c r="FN243" s="824"/>
      <c r="FO243" s="824"/>
      <c r="FP243" s="824"/>
      <c r="FQ243" s="824"/>
      <c r="FR243" s="824"/>
      <c r="FS243" s="824"/>
      <c r="FT243" s="824"/>
      <c r="FU243" s="824"/>
      <c r="FV243" s="824"/>
      <c r="FW243" s="824"/>
      <c r="FX243" s="824"/>
      <c r="FY243" s="824"/>
      <c r="FZ243" s="824"/>
      <c r="GA243" s="824"/>
      <c r="GB243" s="824"/>
      <c r="GC243" s="824"/>
      <c r="GD243" s="824"/>
      <c r="GE243" s="824"/>
      <c r="GF243" s="824"/>
      <c r="GG243" s="824"/>
      <c r="GH243" s="824"/>
      <c r="GI243" s="824"/>
      <c r="GJ243" s="824"/>
      <c r="GK243" s="824"/>
      <c r="GL243" s="824"/>
      <c r="GM243" s="824"/>
      <c r="GN243" s="824"/>
      <c r="GO243" s="824"/>
      <c r="GP243" s="824"/>
      <c r="GQ243" s="824"/>
      <c r="GR243" s="824"/>
      <c r="GS243" s="824"/>
      <c r="GT243" s="824"/>
      <c r="GU243" s="824"/>
      <c r="GV243" s="824"/>
      <c r="GW243" s="824"/>
      <c r="GX243" s="824"/>
      <c r="GY243" s="824"/>
      <c r="GZ243" s="824"/>
      <c r="HA243" s="824"/>
      <c r="HB243" s="824"/>
      <c r="HC243" s="824"/>
      <c r="HD243" s="824"/>
      <c r="HE243" s="824"/>
      <c r="HF243" s="824"/>
      <c r="HG243" s="824"/>
      <c r="HH243" s="824"/>
      <c r="HI243" s="824"/>
      <c r="HJ243" s="824"/>
      <c r="HK243" s="824"/>
      <c r="HL243" s="824"/>
      <c r="HM243" s="824"/>
      <c r="HN243" s="824"/>
      <c r="HO243" s="824"/>
      <c r="HP243" s="824"/>
      <c r="HQ243" s="824"/>
      <c r="HR243" s="824"/>
      <c r="HS243" s="824"/>
      <c r="HT243" s="824"/>
      <c r="HU243" s="824"/>
      <c r="HV243" s="824"/>
      <c r="HW243" s="824"/>
      <c r="HX243" s="824"/>
      <c r="HY243" s="824"/>
      <c r="HZ243" s="824"/>
      <c r="IA243" s="824"/>
      <c r="IB243" s="824"/>
      <c r="IC243" s="824"/>
      <c r="ID243" s="824"/>
      <c r="IE243" s="824"/>
      <c r="IF243" s="824"/>
      <c r="IG243" s="824"/>
      <c r="IH243" s="824"/>
      <c r="II243" s="824"/>
      <c r="IJ243" s="824"/>
      <c r="IK243" s="824"/>
      <c r="IL243" s="824"/>
      <c r="IM243" s="824"/>
      <c r="IN243" s="824"/>
      <c r="IO243" s="824"/>
      <c r="IP243" s="824"/>
      <c r="IQ243" s="824"/>
      <c r="IR243" s="824"/>
      <c r="IS243" s="824"/>
      <c r="IT243" s="824"/>
      <c r="IU243" s="824"/>
      <c r="IV243" s="824"/>
      <c r="IW243" s="824"/>
      <c r="IX243" s="824"/>
      <c r="IY243" s="824"/>
      <c r="IZ243" s="824"/>
      <c r="JA243" s="824"/>
      <c r="JB243" s="824"/>
      <c r="JC243" s="824"/>
      <c r="JD243" s="824"/>
      <c r="JE243" s="824"/>
      <c r="JF243" s="824"/>
      <c r="JG243" s="824"/>
      <c r="JH243" s="824"/>
      <c r="JI243" s="824"/>
      <c r="JJ243" s="824"/>
      <c r="JK243" s="824"/>
      <c r="JL243" s="824"/>
      <c r="JM243" s="824"/>
      <c r="JN243" s="824"/>
      <c r="JO243" s="824"/>
      <c r="JP243" s="824"/>
      <c r="JQ243" s="824"/>
      <c r="JR243" s="824"/>
      <c r="JS243" s="824"/>
      <c r="JT243" s="824"/>
      <c r="JU243" s="824"/>
      <c r="JV243" s="824"/>
      <c r="JW243" s="824"/>
      <c r="JX243" s="824"/>
      <c r="JY243" s="824"/>
      <c r="JZ243" s="824"/>
      <c r="KA243" s="824"/>
      <c r="KB243" s="824"/>
      <c r="KC243" s="824"/>
      <c r="KD243" s="824"/>
      <c r="KE243" s="824"/>
      <c r="KF243" s="824"/>
      <c r="KG243" s="824"/>
      <c r="KH243" s="824"/>
      <c r="KI243" s="824"/>
      <c r="KJ243" s="824"/>
      <c r="KK243" s="824"/>
      <c r="KL243" s="824"/>
      <c r="KM243" s="824"/>
      <c r="KN243" s="824"/>
      <c r="KO243" s="824"/>
      <c r="KP243" s="824"/>
      <c r="KQ243" s="824"/>
      <c r="KR243" s="824"/>
      <c r="KS243" s="824"/>
      <c r="KT243" s="824"/>
      <c r="KU243" s="824"/>
      <c r="KV243" s="824"/>
      <c r="KW243" s="824"/>
      <c r="KX243" s="824"/>
      <c r="KY243" s="824"/>
      <c r="KZ243" s="824"/>
      <c r="LA243" s="824"/>
      <c r="LB243" s="824"/>
      <c r="LC243" s="824"/>
      <c r="LD243" s="824"/>
      <c r="LE243" s="824"/>
      <c r="LF243" s="824"/>
      <c r="LG243" s="824"/>
      <c r="LH243" s="824"/>
      <c r="LI243" s="824"/>
      <c r="LJ243" s="824"/>
      <c r="LK243" s="824"/>
      <c r="LL243" s="824"/>
      <c r="LM243" s="824"/>
      <c r="LN243" s="824"/>
      <c r="LO243" s="824"/>
      <c r="LP243" s="824"/>
      <c r="LQ243" s="824"/>
      <c r="LR243" s="824"/>
      <c r="LS243" s="824"/>
      <c r="LT243" s="824"/>
      <c r="LU243" s="824"/>
      <c r="LV243" s="824"/>
      <c r="LW243" s="824"/>
      <c r="LX243" s="824"/>
      <c r="LY243" s="824"/>
      <c r="LZ243" s="824"/>
      <c r="MA243" s="824"/>
      <c r="MB243" s="824"/>
      <c r="MC243" s="824"/>
      <c r="MD243" s="824"/>
      <c r="ME243" s="824"/>
      <c r="MF243" s="824"/>
      <c r="MG243" s="824"/>
      <c r="MH243" s="824"/>
      <c r="MI243" s="824"/>
      <c r="MJ243" s="824"/>
      <c r="MK243" s="824"/>
      <c r="ML243" s="824"/>
      <c r="MM243" s="824"/>
      <c r="MN243" s="824"/>
      <c r="MO243" s="824"/>
      <c r="MP243" s="824"/>
      <c r="MQ243" s="824"/>
      <c r="MR243" s="824"/>
      <c r="MS243" s="824"/>
      <c r="MT243" s="824"/>
      <c r="MU243" s="824"/>
      <c r="MV243" s="824"/>
      <c r="MW243" s="824"/>
      <c r="MX243" s="824"/>
      <c r="MY243" s="824"/>
      <c r="MZ243" s="824"/>
      <c r="NA243" s="824"/>
      <c r="NB243" s="824"/>
      <c r="NC243" s="824"/>
      <c r="ND243" s="824"/>
      <c r="NE243" s="824"/>
      <c r="NF243" s="824"/>
      <c r="NG243" s="824"/>
      <c r="NH243" s="824"/>
      <c r="NI243" s="824"/>
      <c r="NJ243" s="824"/>
      <c r="NK243" s="824"/>
      <c r="NL243" s="824"/>
      <c r="NM243" s="824"/>
      <c r="NN243" s="824"/>
      <c r="NO243" s="824"/>
      <c r="NP243" s="824"/>
      <c r="NQ243" s="824"/>
      <c r="NR243" s="824"/>
      <c r="NS243" s="824"/>
      <c r="NT243" s="824"/>
      <c r="NU243" s="824"/>
      <c r="NV243" s="824"/>
      <c r="NW243" s="824"/>
      <c r="NX243" s="824"/>
      <c r="NY243" s="824"/>
      <c r="NZ243" s="824"/>
      <c r="OA243" s="824"/>
      <c r="OB243" s="824"/>
      <c r="OC243" s="824"/>
      <c r="OD243" s="824"/>
      <c r="OE243" s="824"/>
      <c r="OF243" s="824"/>
      <c r="OG243" s="824"/>
      <c r="OH243" s="824"/>
      <c r="OI243" s="824"/>
      <c r="OJ243" s="824"/>
      <c r="OK243" s="824"/>
      <c r="OL243" s="824"/>
      <c r="OM243" s="824"/>
      <c r="ON243" s="824"/>
      <c r="OO243" s="824"/>
      <c r="OP243" s="824"/>
      <c r="OQ243" s="824"/>
      <c r="OR243" s="824"/>
      <c r="OS243" s="824"/>
      <c r="OT243" s="824"/>
      <c r="OU243" s="824"/>
      <c r="OV243" s="824"/>
      <c r="OW243" s="824"/>
      <c r="OX243" s="824"/>
      <c r="OY243" s="824"/>
      <c r="OZ243" s="824"/>
      <c r="PA243" s="824"/>
      <c r="PB243" s="824"/>
      <c r="PC243" s="824"/>
      <c r="PD243" s="824"/>
      <c r="PE243" s="824"/>
      <c r="PF243" s="824"/>
      <c r="PG243" s="824"/>
      <c r="PH243" s="824"/>
      <c r="PI243" s="824"/>
      <c r="PJ243" s="824"/>
      <c r="PK243" s="824"/>
      <c r="PL243" s="824"/>
      <c r="PM243" s="824"/>
      <c r="PN243" s="824"/>
      <c r="PO243" s="824"/>
      <c r="PP243" s="824"/>
      <c r="PQ243" s="824"/>
      <c r="PR243" s="824"/>
      <c r="PS243" s="824"/>
      <c r="PT243" s="824"/>
      <c r="PU243" s="824"/>
      <c r="PV243" s="824"/>
      <c r="PW243" s="824"/>
      <c r="PX243" s="824"/>
      <c r="PY243" s="824"/>
      <c r="PZ243" s="824"/>
      <c r="QA243" s="824"/>
      <c r="QB243" s="824"/>
      <c r="QC243" s="824"/>
      <c r="QD243" s="824"/>
      <c r="QE243" s="824"/>
      <c r="QF243" s="824"/>
      <c r="QG243" s="824"/>
      <c r="QH243" s="824"/>
      <c r="QI243" s="824"/>
      <c r="QJ243" s="824"/>
      <c r="QK243" s="824"/>
      <c r="QL243" s="824"/>
      <c r="QM243" s="824"/>
      <c r="QN243" s="824"/>
      <c r="QO243" s="824"/>
      <c r="QP243" s="824"/>
      <c r="QQ243" s="824"/>
      <c r="QR243" s="824"/>
      <c r="QS243" s="824"/>
      <c r="QT243" s="824"/>
      <c r="QU243" s="824"/>
      <c r="QV243" s="824"/>
      <c r="QW243" s="824"/>
      <c r="QX243" s="824"/>
      <c r="QY243" s="824"/>
      <c r="QZ243" s="824"/>
      <c r="RA243" s="824"/>
      <c r="RB243" s="824"/>
      <c r="RC243" s="824"/>
      <c r="RD243" s="824"/>
      <c r="RE243" s="824"/>
      <c r="RF243" s="824"/>
      <c r="RG243" s="824"/>
      <c r="RH243" s="824"/>
      <c r="RI243" s="824"/>
      <c r="RJ243" s="824"/>
      <c r="RK243" s="824"/>
      <c r="RL243" s="824"/>
      <c r="RM243" s="824"/>
      <c r="RN243" s="824"/>
      <c r="RO243" s="824"/>
      <c r="RP243" s="824"/>
      <c r="RQ243" s="824"/>
      <c r="RR243" s="824"/>
      <c r="RS243" s="824"/>
      <c r="RT243" s="824"/>
      <c r="RU243" s="824"/>
      <c r="RV243" s="824"/>
      <c r="RW243" s="824"/>
      <c r="RX243" s="824"/>
      <c r="RY243" s="824"/>
      <c r="RZ243" s="824"/>
      <c r="SA243" s="824"/>
      <c r="SB243" s="824"/>
      <c r="SC243" s="824"/>
      <c r="SD243" s="824"/>
      <c r="SE243" s="824"/>
      <c r="SF243" s="824"/>
      <c r="SG243" s="824"/>
      <c r="SH243" s="824"/>
      <c r="SI243" s="824"/>
      <c r="SJ243" s="824"/>
      <c r="SK243" s="824"/>
      <c r="SL243" s="824"/>
      <c r="SM243" s="824"/>
      <c r="SN243" s="824"/>
      <c r="SO243" s="824"/>
      <c r="SP243" s="824"/>
      <c r="SQ243" s="824"/>
      <c r="SR243" s="824"/>
      <c r="SS243" s="824"/>
      <c r="ST243" s="824"/>
      <c r="SU243" s="824"/>
      <c r="SV243" s="824"/>
      <c r="SW243" s="824"/>
      <c r="SX243" s="824"/>
      <c r="SY243" s="824"/>
      <c r="SZ243" s="824"/>
      <c r="TA243" s="824"/>
      <c r="TB243" s="824"/>
      <c r="TC243" s="824"/>
      <c r="TD243" s="824"/>
      <c r="TE243" s="824"/>
      <c r="TF243" s="824"/>
      <c r="TG243" s="824"/>
      <c r="TH243" s="824"/>
      <c r="TI243" s="824"/>
      <c r="TJ243" s="824"/>
      <c r="TK243" s="824"/>
      <c r="TL243" s="824"/>
      <c r="TM243" s="824"/>
      <c r="TN243" s="824"/>
      <c r="TO243" s="824"/>
      <c r="TP243" s="824"/>
      <c r="TQ243" s="824"/>
      <c r="TR243" s="824"/>
      <c r="TS243" s="824"/>
      <c r="TT243" s="824"/>
      <c r="TU243" s="824"/>
      <c r="TV243" s="824"/>
      <c r="TW243" s="824"/>
      <c r="TX243" s="824"/>
      <c r="TY243" s="824"/>
      <c r="TZ243" s="824"/>
      <c r="UA243" s="824"/>
      <c r="UB243" s="824"/>
      <c r="UC243" s="824"/>
      <c r="UD243" s="824"/>
      <c r="UE243" s="824"/>
      <c r="UF243" s="824"/>
      <c r="UG243" s="824"/>
      <c r="UH243" s="824"/>
      <c r="UI243" s="824"/>
      <c r="UJ243" s="824"/>
      <c r="UK243" s="824"/>
      <c r="UL243" s="824"/>
      <c r="UM243" s="824"/>
      <c r="UN243" s="824"/>
      <c r="UO243" s="824"/>
      <c r="UP243" s="824"/>
      <c r="UQ243" s="824"/>
      <c r="UR243" s="824"/>
      <c r="US243" s="824"/>
      <c r="UT243" s="824"/>
      <c r="UU243" s="824"/>
      <c r="UV243" s="824"/>
      <c r="UW243" s="824"/>
      <c r="UX243" s="824"/>
      <c r="UY243" s="824"/>
      <c r="UZ243" s="824"/>
      <c r="VA243" s="824"/>
      <c r="VB243" s="824"/>
      <c r="VC243" s="824"/>
      <c r="VD243" s="824"/>
      <c r="VE243" s="824"/>
      <c r="VF243" s="824"/>
      <c r="VG243" s="824"/>
      <c r="VH243" s="824"/>
      <c r="VI243" s="824"/>
      <c r="VJ243" s="824"/>
      <c r="VK243" s="824"/>
      <c r="VL243" s="824"/>
      <c r="VM243" s="824"/>
      <c r="VN243" s="824"/>
      <c r="VO243" s="824"/>
      <c r="VP243" s="824"/>
      <c r="VQ243" s="824"/>
      <c r="VR243" s="824"/>
      <c r="VS243" s="824"/>
      <c r="VT243" s="824"/>
      <c r="VU243" s="824"/>
      <c r="VV243" s="824"/>
      <c r="VW243" s="824"/>
      <c r="VX243" s="824"/>
      <c r="VY243" s="824"/>
      <c r="VZ243" s="824"/>
      <c r="WA243" s="824"/>
      <c r="WB243" s="824"/>
      <c r="WC243" s="824"/>
      <c r="WD243" s="824"/>
      <c r="WE243" s="824"/>
      <c r="WF243" s="824"/>
      <c r="WG243" s="824"/>
      <c r="WH243" s="824"/>
      <c r="WI243" s="824"/>
      <c r="WJ243" s="824"/>
      <c r="WK243" s="824"/>
      <c r="WL243" s="824"/>
      <c r="WM243" s="824"/>
      <c r="WN243" s="824"/>
      <c r="WO243" s="824"/>
      <c r="WP243" s="824"/>
      <c r="WQ243" s="824"/>
      <c r="WR243" s="824"/>
      <c r="WS243" s="824"/>
      <c r="WT243" s="824"/>
      <c r="WU243" s="824"/>
      <c r="WV243" s="824"/>
      <c r="WW243" s="824"/>
      <c r="WX243" s="824"/>
      <c r="WY243" s="824"/>
      <c r="WZ243" s="824"/>
      <c r="XA243" s="824"/>
      <c r="XB243" s="824"/>
      <c r="XC243" s="824"/>
      <c r="XD243" s="824"/>
      <c r="XE243" s="824"/>
      <c r="XF243" s="824"/>
      <c r="XG243" s="824"/>
      <c r="XH243" s="824"/>
      <c r="XI243" s="824"/>
      <c r="XJ243" s="824"/>
      <c r="XK243" s="824"/>
      <c r="XL243" s="824"/>
      <c r="XM243" s="824"/>
      <c r="XN243" s="824"/>
      <c r="XO243" s="824"/>
      <c r="XP243" s="824"/>
      <c r="XQ243" s="824"/>
      <c r="XR243" s="824"/>
      <c r="XS243" s="824"/>
      <c r="XT243" s="824"/>
      <c r="XU243" s="824"/>
      <c r="XV243" s="824"/>
      <c r="XW243" s="824"/>
      <c r="XX243" s="824"/>
      <c r="XY243" s="824"/>
      <c r="XZ243" s="824"/>
      <c r="YA243" s="824"/>
      <c r="YB243" s="824"/>
      <c r="YC243" s="824"/>
      <c r="YD243" s="824"/>
      <c r="YE243" s="824"/>
      <c r="YF243" s="824"/>
      <c r="YG243" s="824"/>
      <c r="YH243" s="824"/>
      <c r="YI243" s="824"/>
      <c r="YJ243" s="824"/>
      <c r="YK243" s="824"/>
      <c r="YL243" s="824"/>
      <c r="YM243" s="824"/>
      <c r="YN243" s="824"/>
      <c r="YO243" s="824"/>
      <c r="YP243" s="824"/>
      <c r="YQ243" s="824"/>
      <c r="YR243" s="824"/>
      <c r="YS243" s="824"/>
      <c r="YT243" s="824"/>
      <c r="YU243" s="824"/>
      <c r="YV243" s="824"/>
      <c r="YW243" s="824"/>
      <c r="YX243" s="824"/>
      <c r="YY243" s="824"/>
      <c r="YZ243" s="824"/>
      <c r="ZA243" s="824"/>
      <c r="ZB243" s="824"/>
      <c r="ZC243" s="824"/>
      <c r="ZD243" s="824"/>
      <c r="ZE243" s="824"/>
      <c r="ZF243" s="824"/>
      <c r="ZG243" s="824"/>
      <c r="ZH243" s="824"/>
      <c r="ZI243" s="824"/>
      <c r="ZJ243" s="824"/>
      <c r="ZK243" s="824"/>
      <c r="ZL243" s="824"/>
      <c r="ZM243" s="824"/>
      <c r="ZN243" s="824"/>
      <c r="ZO243" s="824"/>
      <c r="ZP243" s="824"/>
      <c r="ZQ243" s="824"/>
      <c r="ZR243" s="824"/>
      <c r="ZS243" s="824"/>
      <c r="ZT243" s="824"/>
      <c r="ZU243" s="824"/>
      <c r="ZV243" s="824"/>
      <c r="ZW243" s="824"/>
      <c r="ZX243" s="824"/>
      <c r="ZY243" s="824"/>
      <c r="ZZ243" s="824"/>
      <c r="AAA243" s="824"/>
      <c r="AAB243" s="824"/>
      <c r="AAC243" s="824"/>
      <c r="AAD243" s="824"/>
      <c r="AAE243" s="824"/>
      <c r="AAF243" s="824"/>
      <c r="AAG243" s="824"/>
      <c r="AAH243" s="824"/>
      <c r="AAI243" s="824"/>
      <c r="AAJ243" s="824"/>
      <c r="AAK243" s="824"/>
      <c r="AAL243" s="824"/>
      <c r="AAM243" s="824"/>
      <c r="AAN243" s="824"/>
      <c r="AAO243" s="824"/>
      <c r="AAP243" s="824"/>
      <c r="AAQ243" s="824"/>
      <c r="AAR243" s="824"/>
      <c r="AAS243" s="824"/>
      <c r="AAT243" s="824"/>
      <c r="AAU243" s="824"/>
      <c r="AAV243" s="824"/>
      <c r="AAW243" s="824"/>
      <c r="AAX243" s="824"/>
      <c r="AAY243" s="824"/>
      <c r="AAZ243" s="824"/>
      <c r="ABA243" s="824"/>
      <c r="ABB243" s="824"/>
      <c r="ABC243" s="824"/>
      <c r="ABD243" s="824"/>
      <c r="ABE243" s="824"/>
      <c r="ABF243" s="824"/>
      <c r="ABG243" s="824"/>
      <c r="ABH243" s="824"/>
      <c r="ABI243" s="824"/>
      <c r="ABJ243" s="824"/>
      <c r="ABK243" s="824"/>
      <c r="ABL243" s="824"/>
      <c r="ABM243" s="824"/>
      <c r="ABN243" s="824"/>
      <c r="ABO243" s="824"/>
      <c r="ABP243" s="824"/>
      <c r="ABQ243" s="824"/>
      <c r="ABR243" s="824"/>
      <c r="ABS243" s="824"/>
      <c r="ABT243" s="824"/>
      <c r="ABU243" s="824"/>
      <c r="ABV243" s="824"/>
      <c r="ABW243" s="824"/>
      <c r="ABX243" s="824"/>
      <c r="ABY243" s="824"/>
      <c r="ABZ243" s="824"/>
      <c r="ACA243" s="824"/>
      <c r="ACB243" s="824"/>
      <c r="ACC243" s="824"/>
      <c r="ACD243" s="824"/>
      <c r="ACE243" s="824"/>
      <c r="ACF243" s="824"/>
      <c r="ACG243" s="824"/>
      <c r="ACH243" s="824"/>
      <c r="ACI243" s="824"/>
      <c r="ACJ243" s="824"/>
      <c r="ACK243" s="824"/>
      <c r="ACL243" s="824"/>
      <c r="ACM243" s="824"/>
      <c r="ACN243" s="824"/>
      <c r="ACO243" s="824"/>
      <c r="ACP243" s="824"/>
      <c r="ACQ243" s="824"/>
      <c r="ACR243" s="824"/>
      <c r="ACS243" s="824"/>
      <c r="ACT243" s="824"/>
      <c r="ACU243" s="824"/>
      <c r="ACV243" s="824"/>
      <c r="ACW243" s="824"/>
      <c r="ACX243" s="824"/>
      <c r="ACY243" s="824"/>
      <c r="ACZ243" s="824"/>
      <c r="ADA243" s="824"/>
      <c r="ADB243" s="824"/>
      <c r="ADC243" s="824"/>
      <c r="ADD243" s="824"/>
      <c r="ADE243" s="824"/>
      <c r="ADF243" s="824"/>
      <c r="ADG243" s="824"/>
      <c r="ADH243" s="824"/>
      <c r="ADI243" s="824"/>
      <c r="ADJ243" s="824"/>
      <c r="ADK243" s="824"/>
      <c r="ADL243" s="824"/>
      <c r="ADM243" s="824"/>
      <c r="ADN243" s="824"/>
      <c r="ADO243" s="824"/>
      <c r="ADP243" s="824"/>
      <c r="ADQ243" s="824"/>
      <c r="ADR243" s="824"/>
      <c r="ADS243" s="824"/>
      <c r="ADT243" s="824"/>
      <c r="ADU243" s="824"/>
      <c r="ADV243" s="824"/>
      <c r="ADW243" s="824"/>
      <c r="ADX243" s="824"/>
      <c r="ADY243" s="824"/>
      <c r="ADZ243" s="824"/>
      <c r="AEA243" s="824"/>
      <c r="AEB243" s="824"/>
      <c r="AEC243" s="824"/>
      <c r="AED243" s="824"/>
      <c r="AEE243" s="824"/>
      <c r="AEF243" s="824"/>
      <c r="AEG243" s="824"/>
      <c r="AEH243" s="824"/>
      <c r="AEI243" s="824"/>
      <c r="AEJ243" s="824"/>
      <c r="AEK243" s="824"/>
      <c r="AEL243" s="824"/>
      <c r="AEM243" s="824"/>
      <c r="AEN243" s="824"/>
      <c r="AEO243" s="824"/>
      <c r="AEP243" s="824"/>
      <c r="AEQ243" s="824"/>
      <c r="AER243" s="824"/>
      <c r="AES243" s="824"/>
      <c r="AET243" s="824"/>
      <c r="AEU243" s="824"/>
      <c r="AEV243" s="824"/>
      <c r="AEW243" s="824"/>
      <c r="AEX243" s="824"/>
      <c r="AEY243" s="824"/>
      <c r="AEZ243" s="824"/>
      <c r="AFA243" s="824"/>
      <c r="AFB243" s="824"/>
      <c r="AFC243" s="824"/>
      <c r="AFD243" s="824"/>
      <c r="AFE243" s="824"/>
      <c r="AFF243" s="824"/>
      <c r="AFG243" s="824"/>
      <c r="AFH243" s="824"/>
      <c r="AFI243" s="824"/>
      <c r="AFJ243" s="824"/>
      <c r="AFK243" s="824"/>
      <c r="AFL243" s="824"/>
      <c r="AFM243" s="824"/>
      <c r="AFN243" s="824"/>
      <c r="AFO243" s="824"/>
      <c r="AFP243" s="824"/>
      <c r="AFQ243" s="824"/>
      <c r="AFR243" s="824"/>
      <c r="AFS243" s="824"/>
      <c r="AFT243" s="824"/>
      <c r="AFU243" s="824"/>
      <c r="AFV243" s="824"/>
      <c r="AFW243" s="824"/>
      <c r="AFX243" s="824"/>
      <c r="AFY243" s="824"/>
      <c r="AFZ243" s="824"/>
      <c r="AGA243" s="824"/>
      <c r="AGB243" s="824"/>
      <c r="AGC243" s="824"/>
      <c r="AGD243" s="824"/>
      <c r="AGE243" s="824"/>
      <c r="AGF243" s="824"/>
      <c r="AGG243" s="824"/>
      <c r="AGH243" s="824"/>
      <c r="AGI243" s="824"/>
      <c r="AGJ243" s="824"/>
    </row>
    <row r="244" spans="1:868" s="825" customFormat="1" hidden="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8"/>
      <c r="Q244" s="824"/>
      <c r="R244" s="824"/>
      <c r="S244" s="824"/>
      <c r="T244" s="824"/>
      <c r="U244" s="824"/>
      <c r="V244" s="824"/>
      <c r="W244" s="824"/>
      <c r="X244" s="824"/>
      <c r="Y244" s="824"/>
      <c r="Z244" s="824"/>
      <c r="AA244" s="824"/>
      <c r="AB244" s="824"/>
      <c r="AC244" s="824"/>
      <c r="AD244" s="824"/>
      <c r="AE244" s="824"/>
      <c r="AF244" s="824"/>
      <c r="AG244" s="824"/>
      <c r="AH244" s="824"/>
      <c r="AI244" s="824"/>
      <c r="AJ244" s="824"/>
      <c r="AK244" s="824"/>
      <c r="AL244" s="824"/>
      <c r="AM244" s="824"/>
      <c r="AN244" s="824"/>
      <c r="AO244" s="824"/>
      <c r="AP244" s="824"/>
      <c r="AQ244" s="824"/>
      <c r="AR244" s="824"/>
      <c r="AS244" s="824"/>
      <c r="AT244" s="824"/>
      <c r="AU244" s="824"/>
      <c r="AV244" s="824"/>
      <c r="AW244" s="824"/>
      <c r="AX244" s="824"/>
      <c r="AY244" s="824"/>
      <c r="AZ244" s="824"/>
      <c r="BA244" s="824"/>
      <c r="BB244" s="824"/>
      <c r="BC244" s="824"/>
      <c r="BD244" s="824"/>
      <c r="BE244" s="824"/>
      <c r="BF244" s="824"/>
      <c r="BG244" s="824"/>
      <c r="BH244" s="824"/>
      <c r="BI244" s="824"/>
      <c r="BJ244" s="824"/>
      <c r="BK244" s="824"/>
      <c r="BL244" s="824"/>
      <c r="BM244" s="824"/>
      <c r="BN244" s="824"/>
      <c r="BO244" s="824"/>
      <c r="BP244" s="824"/>
      <c r="BQ244" s="824"/>
      <c r="BR244" s="824"/>
      <c r="BS244" s="824"/>
      <c r="BT244" s="824"/>
      <c r="BU244" s="824"/>
      <c r="BV244" s="824"/>
      <c r="BW244" s="824"/>
      <c r="BX244" s="824"/>
      <c r="BY244" s="824"/>
      <c r="BZ244" s="824"/>
      <c r="CA244" s="824"/>
      <c r="CB244" s="824"/>
      <c r="CC244" s="824"/>
      <c r="CD244" s="824"/>
      <c r="CE244" s="824"/>
      <c r="CF244" s="824"/>
      <c r="CG244" s="824"/>
      <c r="CH244" s="824"/>
      <c r="CI244" s="824"/>
      <c r="CJ244" s="824"/>
      <c r="CK244" s="824"/>
      <c r="CL244" s="824"/>
      <c r="CM244" s="824"/>
      <c r="CN244" s="824"/>
      <c r="CO244" s="824"/>
      <c r="CP244" s="824"/>
      <c r="CQ244" s="824"/>
      <c r="CR244" s="824"/>
      <c r="CS244" s="824"/>
      <c r="CT244" s="824"/>
      <c r="CU244" s="824"/>
      <c r="CV244" s="824"/>
      <c r="CW244" s="824"/>
      <c r="CX244" s="824"/>
      <c r="CY244" s="824"/>
      <c r="CZ244" s="824"/>
      <c r="DA244" s="824"/>
      <c r="DB244" s="824"/>
      <c r="DC244" s="824"/>
      <c r="DD244" s="824"/>
      <c r="DE244" s="824"/>
      <c r="DF244" s="824"/>
      <c r="DG244" s="824"/>
      <c r="DH244" s="824"/>
      <c r="DI244" s="824"/>
      <c r="DJ244" s="824"/>
      <c r="DK244" s="824"/>
      <c r="DL244" s="824"/>
      <c r="DM244" s="824"/>
      <c r="DN244" s="824"/>
      <c r="DO244" s="824"/>
      <c r="DP244" s="824"/>
      <c r="DQ244" s="824"/>
      <c r="DR244" s="824"/>
      <c r="DS244" s="824"/>
      <c r="DT244" s="824"/>
      <c r="DU244" s="824"/>
      <c r="DV244" s="824"/>
      <c r="DW244" s="824"/>
      <c r="DX244" s="824"/>
      <c r="DY244" s="824"/>
      <c r="DZ244" s="824"/>
      <c r="EA244" s="824"/>
      <c r="EB244" s="824"/>
      <c r="EC244" s="824"/>
      <c r="ED244" s="824"/>
      <c r="EE244" s="824"/>
      <c r="EF244" s="824"/>
      <c r="EG244" s="824"/>
      <c r="EH244" s="824"/>
      <c r="EI244" s="824"/>
      <c r="EJ244" s="824"/>
      <c r="EK244" s="824"/>
      <c r="EL244" s="824"/>
      <c r="EM244" s="824"/>
      <c r="EN244" s="824"/>
      <c r="EO244" s="824"/>
      <c r="EP244" s="824"/>
      <c r="EQ244" s="824"/>
      <c r="ER244" s="824"/>
      <c r="ES244" s="824"/>
      <c r="ET244" s="824"/>
      <c r="EU244" s="824"/>
      <c r="EV244" s="824"/>
      <c r="EW244" s="824"/>
      <c r="EX244" s="824"/>
      <c r="EY244" s="824"/>
      <c r="EZ244" s="824"/>
      <c r="FA244" s="824"/>
      <c r="FB244" s="824"/>
      <c r="FC244" s="824"/>
      <c r="FD244" s="824"/>
      <c r="FE244" s="824"/>
      <c r="FF244" s="824"/>
      <c r="FG244" s="824"/>
      <c r="FH244" s="824"/>
      <c r="FI244" s="824"/>
      <c r="FJ244" s="824"/>
      <c r="FK244" s="824"/>
      <c r="FL244" s="824"/>
      <c r="FM244" s="824"/>
      <c r="FN244" s="824"/>
      <c r="FO244" s="824"/>
      <c r="FP244" s="824"/>
      <c r="FQ244" s="824"/>
      <c r="FR244" s="824"/>
      <c r="FS244" s="824"/>
      <c r="FT244" s="824"/>
      <c r="FU244" s="824"/>
      <c r="FV244" s="824"/>
      <c r="FW244" s="824"/>
      <c r="FX244" s="824"/>
      <c r="FY244" s="824"/>
      <c r="FZ244" s="824"/>
      <c r="GA244" s="824"/>
      <c r="GB244" s="824"/>
      <c r="GC244" s="824"/>
      <c r="GD244" s="824"/>
      <c r="GE244" s="824"/>
      <c r="GF244" s="824"/>
      <c r="GG244" s="824"/>
      <c r="GH244" s="824"/>
      <c r="GI244" s="824"/>
      <c r="GJ244" s="824"/>
      <c r="GK244" s="824"/>
      <c r="GL244" s="824"/>
      <c r="GM244" s="824"/>
      <c r="GN244" s="824"/>
      <c r="GO244" s="824"/>
      <c r="GP244" s="824"/>
      <c r="GQ244" s="824"/>
      <c r="GR244" s="824"/>
      <c r="GS244" s="824"/>
      <c r="GT244" s="824"/>
      <c r="GU244" s="824"/>
      <c r="GV244" s="824"/>
      <c r="GW244" s="824"/>
      <c r="GX244" s="824"/>
      <c r="GY244" s="824"/>
      <c r="GZ244" s="824"/>
      <c r="HA244" s="824"/>
      <c r="HB244" s="824"/>
      <c r="HC244" s="824"/>
      <c r="HD244" s="824"/>
      <c r="HE244" s="824"/>
      <c r="HF244" s="824"/>
      <c r="HG244" s="824"/>
      <c r="HH244" s="824"/>
      <c r="HI244" s="824"/>
      <c r="HJ244" s="824"/>
      <c r="HK244" s="824"/>
      <c r="HL244" s="824"/>
      <c r="HM244" s="824"/>
      <c r="HN244" s="824"/>
      <c r="HO244" s="824"/>
      <c r="HP244" s="824"/>
      <c r="HQ244" s="824"/>
      <c r="HR244" s="824"/>
      <c r="HS244" s="824"/>
      <c r="HT244" s="824"/>
      <c r="HU244" s="824"/>
      <c r="HV244" s="824"/>
      <c r="HW244" s="824"/>
      <c r="HX244" s="824"/>
      <c r="HY244" s="824"/>
      <c r="HZ244" s="824"/>
      <c r="IA244" s="824"/>
      <c r="IB244" s="824"/>
      <c r="IC244" s="824"/>
      <c r="ID244" s="824"/>
      <c r="IE244" s="824"/>
      <c r="IF244" s="824"/>
      <c r="IG244" s="824"/>
      <c r="IH244" s="824"/>
      <c r="II244" s="824"/>
      <c r="IJ244" s="824"/>
      <c r="IK244" s="824"/>
      <c r="IL244" s="824"/>
      <c r="IM244" s="824"/>
      <c r="IN244" s="824"/>
      <c r="IO244" s="824"/>
      <c r="IP244" s="824"/>
      <c r="IQ244" s="824"/>
      <c r="IR244" s="824"/>
      <c r="IS244" s="824"/>
      <c r="IT244" s="824"/>
      <c r="IU244" s="824"/>
      <c r="IV244" s="824"/>
      <c r="IW244" s="824"/>
      <c r="IX244" s="824"/>
      <c r="IY244" s="824"/>
      <c r="IZ244" s="824"/>
      <c r="JA244" s="824"/>
      <c r="JB244" s="824"/>
      <c r="JC244" s="824"/>
      <c r="JD244" s="824"/>
      <c r="JE244" s="824"/>
      <c r="JF244" s="824"/>
      <c r="JG244" s="824"/>
      <c r="JH244" s="824"/>
      <c r="JI244" s="824"/>
      <c r="JJ244" s="824"/>
      <c r="JK244" s="824"/>
      <c r="JL244" s="824"/>
      <c r="JM244" s="824"/>
      <c r="JN244" s="824"/>
      <c r="JO244" s="824"/>
      <c r="JP244" s="824"/>
      <c r="JQ244" s="824"/>
      <c r="JR244" s="824"/>
      <c r="JS244" s="824"/>
      <c r="JT244" s="824"/>
      <c r="JU244" s="824"/>
      <c r="JV244" s="824"/>
      <c r="JW244" s="824"/>
      <c r="JX244" s="824"/>
      <c r="JY244" s="824"/>
      <c r="JZ244" s="824"/>
      <c r="KA244" s="824"/>
      <c r="KB244" s="824"/>
      <c r="KC244" s="824"/>
      <c r="KD244" s="824"/>
      <c r="KE244" s="824"/>
      <c r="KF244" s="824"/>
      <c r="KG244" s="824"/>
      <c r="KH244" s="824"/>
      <c r="KI244" s="824"/>
      <c r="KJ244" s="824"/>
      <c r="KK244" s="824"/>
      <c r="KL244" s="824"/>
      <c r="KM244" s="824"/>
      <c r="KN244" s="824"/>
      <c r="KO244" s="824"/>
      <c r="KP244" s="824"/>
      <c r="KQ244" s="824"/>
      <c r="KR244" s="824"/>
      <c r="KS244" s="824"/>
      <c r="KT244" s="824"/>
      <c r="KU244" s="824"/>
      <c r="KV244" s="824"/>
      <c r="KW244" s="824"/>
      <c r="KX244" s="824"/>
      <c r="KY244" s="824"/>
      <c r="KZ244" s="824"/>
      <c r="LA244" s="824"/>
      <c r="LB244" s="824"/>
      <c r="LC244" s="824"/>
      <c r="LD244" s="824"/>
      <c r="LE244" s="824"/>
      <c r="LF244" s="824"/>
      <c r="LG244" s="824"/>
      <c r="LH244" s="824"/>
      <c r="LI244" s="824"/>
      <c r="LJ244" s="824"/>
      <c r="LK244" s="824"/>
      <c r="LL244" s="824"/>
      <c r="LM244" s="824"/>
      <c r="LN244" s="824"/>
      <c r="LO244" s="824"/>
      <c r="LP244" s="824"/>
      <c r="LQ244" s="824"/>
      <c r="LR244" s="824"/>
      <c r="LS244" s="824"/>
      <c r="LT244" s="824"/>
      <c r="LU244" s="824"/>
      <c r="LV244" s="824"/>
      <c r="LW244" s="824"/>
      <c r="LX244" s="824"/>
      <c r="LY244" s="824"/>
      <c r="LZ244" s="824"/>
      <c r="MA244" s="824"/>
      <c r="MB244" s="824"/>
      <c r="MC244" s="824"/>
      <c r="MD244" s="824"/>
      <c r="ME244" s="824"/>
      <c r="MF244" s="824"/>
      <c r="MG244" s="824"/>
      <c r="MH244" s="824"/>
      <c r="MI244" s="824"/>
      <c r="MJ244" s="824"/>
      <c r="MK244" s="824"/>
      <c r="ML244" s="824"/>
      <c r="MM244" s="824"/>
      <c r="MN244" s="824"/>
      <c r="MO244" s="824"/>
      <c r="MP244" s="824"/>
      <c r="MQ244" s="824"/>
      <c r="MR244" s="824"/>
      <c r="MS244" s="824"/>
      <c r="MT244" s="824"/>
      <c r="MU244" s="824"/>
      <c r="MV244" s="824"/>
      <c r="MW244" s="824"/>
      <c r="MX244" s="824"/>
      <c r="MY244" s="824"/>
      <c r="MZ244" s="824"/>
      <c r="NA244" s="824"/>
      <c r="NB244" s="824"/>
      <c r="NC244" s="824"/>
      <c r="ND244" s="824"/>
      <c r="NE244" s="824"/>
      <c r="NF244" s="824"/>
      <c r="NG244" s="824"/>
      <c r="NH244" s="824"/>
      <c r="NI244" s="824"/>
      <c r="NJ244" s="824"/>
      <c r="NK244" s="824"/>
      <c r="NL244" s="824"/>
      <c r="NM244" s="824"/>
      <c r="NN244" s="824"/>
      <c r="NO244" s="824"/>
      <c r="NP244" s="824"/>
      <c r="NQ244" s="824"/>
      <c r="NR244" s="824"/>
      <c r="NS244" s="824"/>
      <c r="NT244" s="824"/>
      <c r="NU244" s="824"/>
      <c r="NV244" s="824"/>
      <c r="NW244" s="824"/>
      <c r="NX244" s="824"/>
      <c r="NY244" s="824"/>
      <c r="NZ244" s="824"/>
      <c r="OA244" s="824"/>
      <c r="OB244" s="824"/>
      <c r="OC244" s="824"/>
      <c r="OD244" s="824"/>
      <c r="OE244" s="824"/>
      <c r="OF244" s="824"/>
      <c r="OG244" s="824"/>
      <c r="OH244" s="824"/>
      <c r="OI244" s="824"/>
      <c r="OJ244" s="824"/>
      <c r="OK244" s="824"/>
      <c r="OL244" s="824"/>
      <c r="OM244" s="824"/>
      <c r="ON244" s="824"/>
      <c r="OO244" s="824"/>
      <c r="OP244" s="824"/>
      <c r="OQ244" s="824"/>
      <c r="OR244" s="824"/>
      <c r="OS244" s="824"/>
      <c r="OT244" s="824"/>
      <c r="OU244" s="824"/>
      <c r="OV244" s="824"/>
      <c r="OW244" s="824"/>
      <c r="OX244" s="824"/>
      <c r="OY244" s="824"/>
      <c r="OZ244" s="824"/>
      <c r="PA244" s="824"/>
      <c r="PB244" s="824"/>
      <c r="PC244" s="824"/>
      <c r="PD244" s="824"/>
      <c r="PE244" s="824"/>
      <c r="PF244" s="824"/>
      <c r="PG244" s="824"/>
      <c r="PH244" s="824"/>
      <c r="PI244" s="824"/>
      <c r="PJ244" s="824"/>
      <c r="PK244" s="824"/>
      <c r="PL244" s="824"/>
      <c r="PM244" s="824"/>
      <c r="PN244" s="824"/>
      <c r="PO244" s="824"/>
      <c r="PP244" s="824"/>
      <c r="PQ244" s="824"/>
      <c r="PR244" s="824"/>
      <c r="PS244" s="824"/>
      <c r="PT244" s="824"/>
      <c r="PU244" s="824"/>
      <c r="PV244" s="824"/>
      <c r="PW244" s="824"/>
      <c r="PX244" s="824"/>
      <c r="PY244" s="824"/>
      <c r="PZ244" s="824"/>
      <c r="QA244" s="824"/>
      <c r="QB244" s="824"/>
      <c r="QC244" s="824"/>
      <c r="QD244" s="824"/>
      <c r="QE244" s="824"/>
      <c r="QF244" s="824"/>
      <c r="QG244" s="824"/>
      <c r="QH244" s="824"/>
      <c r="QI244" s="824"/>
      <c r="QJ244" s="824"/>
      <c r="QK244" s="824"/>
      <c r="QL244" s="824"/>
      <c r="QM244" s="824"/>
      <c r="QN244" s="824"/>
      <c r="QO244" s="824"/>
      <c r="QP244" s="824"/>
      <c r="QQ244" s="824"/>
      <c r="QR244" s="824"/>
      <c r="QS244" s="824"/>
      <c r="QT244" s="824"/>
      <c r="QU244" s="824"/>
      <c r="QV244" s="824"/>
      <c r="QW244" s="824"/>
      <c r="QX244" s="824"/>
      <c r="QY244" s="824"/>
      <c r="QZ244" s="824"/>
      <c r="RA244" s="824"/>
      <c r="RB244" s="824"/>
      <c r="RC244" s="824"/>
      <c r="RD244" s="824"/>
      <c r="RE244" s="824"/>
      <c r="RF244" s="824"/>
      <c r="RG244" s="824"/>
      <c r="RH244" s="824"/>
      <c r="RI244" s="824"/>
      <c r="RJ244" s="824"/>
      <c r="RK244" s="824"/>
      <c r="RL244" s="824"/>
      <c r="RM244" s="824"/>
      <c r="RN244" s="824"/>
      <c r="RO244" s="824"/>
      <c r="RP244" s="824"/>
      <c r="RQ244" s="824"/>
      <c r="RR244" s="824"/>
      <c r="RS244" s="824"/>
      <c r="RT244" s="824"/>
      <c r="RU244" s="824"/>
      <c r="RV244" s="824"/>
      <c r="RW244" s="824"/>
      <c r="RX244" s="824"/>
      <c r="RY244" s="824"/>
      <c r="RZ244" s="824"/>
      <c r="SA244" s="824"/>
      <c r="SB244" s="824"/>
      <c r="SC244" s="824"/>
      <c r="SD244" s="824"/>
      <c r="SE244" s="824"/>
      <c r="SF244" s="824"/>
      <c r="SG244" s="824"/>
      <c r="SH244" s="824"/>
      <c r="SI244" s="824"/>
      <c r="SJ244" s="824"/>
      <c r="SK244" s="824"/>
      <c r="SL244" s="824"/>
      <c r="SM244" s="824"/>
      <c r="SN244" s="824"/>
      <c r="SO244" s="824"/>
      <c r="SP244" s="824"/>
      <c r="SQ244" s="824"/>
      <c r="SR244" s="824"/>
      <c r="SS244" s="824"/>
      <c r="ST244" s="824"/>
      <c r="SU244" s="824"/>
      <c r="SV244" s="824"/>
      <c r="SW244" s="824"/>
      <c r="SX244" s="824"/>
      <c r="SY244" s="824"/>
      <c r="SZ244" s="824"/>
      <c r="TA244" s="824"/>
      <c r="TB244" s="824"/>
      <c r="TC244" s="824"/>
      <c r="TD244" s="824"/>
      <c r="TE244" s="824"/>
      <c r="TF244" s="824"/>
      <c r="TG244" s="824"/>
      <c r="TH244" s="824"/>
      <c r="TI244" s="824"/>
      <c r="TJ244" s="824"/>
      <c r="TK244" s="824"/>
      <c r="TL244" s="824"/>
      <c r="TM244" s="824"/>
      <c r="TN244" s="824"/>
      <c r="TO244" s="824"/>
      <c r="TP244" s="824"/>
      <c r="TQ244" s="824"/>
      <c r="TR244" s="824"/>
      <c r="TS244" s="824"/>
      <c r="TT244" s="824"/>
      <c r="TU244" s="824"/>
      <c r="TV244" s="824"/>
      <c r="TW244" s="824"/>
      <c r="TX244" s="824"/>
      <c r="TY244" s="824"/>
      <c r="TZ244" s="824"/>
      <c r="UA244" s="824"/>
      <c r="UB244" s="824"/>
      <c r="UC244" s="824"/>
      <c r="UD244" s="824"/>
      <c r="UE244" s="824"/>
      <c r="UF244" s="824"/>
      <c r="UG244" s="824"/>
      <c r="UH244" s="824"/>
      <c r="UI244" s="824"/>
      <c r="UJ244" s="824"/>
      <c r="UK244" s="824"/>
      <c r="UL244" s="824"/>
      <c r="UM244" s="824"/>
      <c r="UN244" s="824"/>
      <c r="UO244" s="824"/>
      <c r="UP244" s="824"/>
      <c r="UQ244" s="824"/>
      <c r="UR244" s="824"/>
      <c r="US244" s="824"/>
      <c r="UT244" s="824"/>
      <c r="UU244" s="824"/>
      <c r="UV244" s="824"/>
      <c r="UW244" s="824"/>
      <c r="UX244" s="824"/>
      <c r="UY244" s="824"/>
      <c r="UZ244" s="824"/>
      <c r="VA244" s="824"/>
      <c r="VB244" s="824"/>
      <c r="VC244" s="824"/>
      <c r="VD244" s="824"/>
      <c r="VE244" s="824"/>
      <c r="VF244" s="824"/>
      <c r="VG244" s="824"/>
      <c r="VH244" s="824"/>
      <c r="VI244" s="824"/>
      <c r="VJ244" s="824"/>
      <c r="VK244" s="824"/>
      <c r="VL244" s="824"/>
      <c r="VM244" s="824"/>
      <c r="VN244" s="824"/>
      <c r="VO244" s="824"/>
      <c r="VP244" s="824"/>
      <c r="VQ244" s="824"/>
      <c r="VR244" s="824"/>
      <c r="VS244" s="824"/>
      <c r="VT244" s="824"/>
      <c r="VU244" s="824"/>
      <c r="VV244" s="824"/>
      <c r="VW244" s="824"/>
      <c r="VX244" s="824"/>
      <c r="VY244" s="824"/>
      <c r="VZ244" s="824"/>
      <c r="WA244" s="824"/>
      <c r="WB244" s="824"/>
      <c r="WC244" s="824"/>
      <c r="WD244" s="824"/>
      <c r="WE244" s="824"/>
      <c r="WF244" s="824"/>
      <c r="WG244" s="824"/>
      <c r="WH244" s="824"/>
      <c r="WI244" s="824"/>
      <c r="WJ244" s="824"/>
      <c r="WK244" s="824"/>
      <c r="WL244" s="824"/>
      <c r="WM244" s="824"/>
      <c r="WN244" s="824"/>
      <c r="WO244" s="824"/>
      <c r="WP244" s="824"/>
      <c r="WQ244" s="824"/>
      <c r="WR244" s="824"/>
      <c r="WS244" s="824"/>
      <c r="WT244" s="824"/>
      <c r="WU244" s="824"/>
      <c r="WV244" s="824"/>
      <c r="WW244" s="824"/>
      <c r="WX244" s="824"/>
      <c r="WY244" s="824"/>
      <c r="WZ244" s="824"/>
      <c r="XA244" s="824"/>
      <c r="XB244" s="824"/>
      <c r="XC244" s="824"/>
      <c r="XD244" s="824"/>
      <c r="XE244" s="824"/>
      <c r="XF244" s="824"/>
      <c r="XG244" s="824"/>
      <c r="XH244" s="824"/>
      <c r="XI244" s="824"/>
      <c r="XJ244" s="824"/>
      <c r="XK244" s="824"/>
      <c r="XL244" s="824"/>
      <c r="XM244" s="824"/>
      <c r="XN244" s="824"/>
      <c r="XO244" s="824"/>
      <c r="XP244" s="824"/>
      <c r="XQ244" s="824"/>
      <c r="XR244" s="824"/>
      <c r="XS244" s="824"/>
      <c r="XT244" s="824"/>
      <c r="XU244" s="824"/>
      <c r="XV244" s="824"/>
      <c r="XW244" s="824"/>
      <c r="XX244" s="824"/>
      <c r="XY244" s="824"/>
      <c r="XZ244" s="824"/>
      <c r="YA244" s="824"/>
      <c r="YB244" s="824"/>
      <c r="YC244" s="824"/>
      <c r="YD244" s="824"/>
      <c r="YE244" s="824"/>
      <c r="YF244" s="824"/>
      <c r="YG244" s="824"/>
      <c r="YH244" s="824"/>
      <c r="YI244" s="824"/>
      <c r="YJ244" s="824"/>
      <c r="YK244" s="824"/>
      <c r="YL244" s="824"/>
      <c r="YM244" s="824"/>
      <c r="YN244" s="824"/>
      <c r="YO244" s="824"/>
      <c r="YP244" s="824"/>
      <c r="YQ244" s="824"/>
      <c r="YR244" s="824"/>
      <c r="YS244" s="824"/>
      <c r="YT244" s="824"/>
      <c r="YU244" s="824"/>
      <c r="YV244" s="824"/>
      <c r="YW244" s="824"/>
      <c r="YX244" s="824"/>
      <c r="YY244" s="824"/>
      <c r="YZ244" s="824"/>
      <c r="ZA244" s="824"/>
      <c r="ZB244" s="824"/>
      <c r="ZC244" s="824"/>
      <c r="ZD244" s="824"/>
      <c r="ZE244" s="824"/>
      <c r="ZF244" s="824"/>
      <c r="ZG244" s="824"/>
      <c r="ZH244" s="824"/>
      <c r="ZI244" s="824"/>
      <c r="ZJ244" s="824"/>
      <c r="ZK244" s="824"/>
      <c r="ZL244" s="824"/>
      <c r="ZM244" s="824"/>
      <c r="ZN244" s="824"/>
      <c r="ZO244" s="824"/>
      <c r="ZP244" s="824"/>
      <c r="ZQ244" s="824"/>
      <c r="ZR244" s="824"/>
      <c r="ZS244" s="824"/>
      <c r="ZT244" s="824"/>
      <c r="ZU244" s="824"/>
      <c r="ZV244" s="824"/>
      <c r="ZW244" s="824"/>
      <c r="ZX244" s="824"/>
      <c r="ZY244" s="824"/>
      <c r="ZZ244" s="824"/>
      <c r="AAA244" s="824"/>
      <c r="AAB244" s="824"/>
      <c r="AAC244" s="824"/>
      <c r="AAD244" s="824"/>
      <c r="AAE244" s="824"/>
      <c r="AAF244" s="824"/>
      <c r="AAG244" s="824"/>
      <c r="AAH244" s="824"/>
      <c r="AAI244" s="824"/>
      <c r="AAJ244" s="824"/>
      <c r="AAK244" s="824"/>
      <c r="AAL244" s="824"/>
      <c r="AAM244" s="824"/>
      <c r="AAN244" s="824"/>
      <c r="AAO244" s="824"/>
      <c r="AAP244" s="824"/>
      <c r="AAQ244" s="824"/>
      <c r="AAR244" s="824"/>
      <c r="AAS244" s="824"/>
      <c r="AAT244" s="824"/>
      <c r="AAU244" s="824"/>
      <c r="AAV244" s="824"/>
      <c r="AAW244" s="824"/>
      <c r="AAX244" s="824"/>
      <c r="AAY244" s="824"/>
      <c r="AAZ244" s="824"/>
      <c r="ABA244" s="824"/>
      <c r="ABB244" s="824"/>
      <c r="ABC244" s="824"/>
      <c r="ABD244" s="824"/>
      <c r="ABE244" s="824"/>
      <c r="ABF244" s="824"/>
      <c r="ABG244" s="824"/>
      <c r="ABH244" s="824"/>
      <c r="ABI244" s="824"/>
      <c r="ABJ244" s="824"/>
      <c r="ABK244" s="824"/>
      <c r="ABL244" s="824"/>
      <c r="ABM244" s="824"/>
      <c r="ABN244" s="824"/>
      <c r="ABO244" s="824"/>
      <c r="ABP244" s="824"/>
      <c r="ABQ244" s="824"/>
      <c r="ABR244" s="824"/>
      <c r="ABS244" s="824"/>
      <c r="ABT244" s="824"/>
      <c r="ABU244" s="824"/>
      <c r="ABV244" s="824"/>
      <c r="ABW244" s="824"/>
      <c r="ABX244" s="824"/>
      <c r="ABY244" s="824"/>
      <c r="ABZ244" s="824"/>
      <c r="ACA244" s="824"/>
      <c r="ACB244" s="824"/>
      <c r="ACC244" s="824"/>
      <c r="ACD244" s="824"/>
      <c r="ACE244" s="824"/>
      <c r="ACF244" s="824"/>
      <c r="ACG244" s="824"/>
      <c r="ACH244" s="824"/>
      <c r="ACI244" s="824"/>
      <c r="ACJ244" s="824"/>
      <c r="ACK244" s="824"/>
      <c r="ACL244" s="824"/>
      <c r="ACM244" s="824"/>
      <c r="ACN244" s="824"/>
      <c r="ACO244" s="824"/>
      <c r="ACP244" s="824"/>
      <c r="ACQ244" s="824"/>
      <c r="ACR244" s="824"/>
      <c r="ACS244" s="824"/>
      <c r="ACT244" s="824"/>
      <c r="ACU244" s="824"/>
      <c r="ACV244" s="824"/>
      <c r="ACW244" s="824"/>
      <c r="ACX244" s="824"/>
      <c r="ACY244" s="824"/>
      <c r="ACZ244" s="824"/>
      <c r="ADA244" s="824"/>
      <c r="ADB244" s="824"/>
      <c r="ADC244" s="824"/>
      <c r="ADD244" s="824"/>
      <c r="ADE244" s="824"/>
      <c r="ADF244" s="824"/>
      <c r="ADG244" s="824"/>
      <c r="ADH244" s="824"/>
      <c r="ADI244" s="824"/>
      <c r="ADJ244" s="824"/>
      <c r="ADK244" s="824"/>
      <c r="ADL244" s="824"/>
      <c r="ADM244" s="824"/>
      <c r="ADN244" s="824"/>
      <c r="ADO244" s="824"/>
      <c r="ADP244" s="824"/>
      <c r="ADQ244" s="824"/>
      <c r="ADR244" s="824"/>
      <c r="ADS244" s="824"/>
      <c r="ADT244" s="824"/>
      <c r="ADU244" s="824"/>
      <c r="ADV244" s="824"/>
      <c r="ADW244" s="824"/>
      <c r="ADX244" s="824"/>
      <c r="ADY244" s="824"/>
      <c r="ADZ244" s="824"/>
      <c r="AEA244" s="824"/>
      <c r="AEB244" s="824"/>
      <c r="AEC244" s="824"/>
      <c r="AED244" s="824"/>
      <c r="AEE244" s="824"/>
      <c r="AEF244" s="824"/>
      <c r="AEG244" s="824"/>
      <c r="AEH244" s="824"/>
      <c r="AEI244" s="824"/>
      <c r="AEJ244" s="824"/>
      <c r="AEK244" s="824"/>
      <c r="AEL244" s="824"/>
      <c r="AEM244" s="824"/>
      <c r="AEN244" s="824"/>
      <c r="AEO244" s="824"/>
      <c r="AEP244" s="824"/>
      <c r="AEQ244" s="824"/>
      <c r="AER244" s="824"/>
      <c r="AES244" s="824"/>
      <c r="AET244" s="824"/>
      <c r="AEU244" s="824"/>
      <c r="AEV244" s="824"/>
      <c r="AEW244" s="824"/>
      <c r="AEX244" s="824"/>
      <c r="AEY244" s="824"/>
      <c r="AEZ244" s="824"/>
      <c r="AFA244" s="824"/>
      <c r="AFB244" s="824"/>
      <c r="AFC244" s="824"/>
      <c r="AFD244" s="824"/>
      <c r="AFE244" s="824"/>
      <c r="AFF244" s="824"/>
      <c r="AFG244" s="824"/>
      <c r="AFH244" s="824"/>
      <c r="AFI244" s="824"/>
      <c r="AFJ244" s="824"/>
      <c r="AFK244" s="824"/>
      <c r="AFL244" s="824"/>
      <c r="AFM244" s="824"/>
      <c r="AFN244" s="824"/>
      <c r="AFO244" s="824"/>
      <c r="AFP244" s="824"/>
      <c r="AFQ244" s="824"/>
      <c r="AFR244" s="824"/>
      <c r="AFS244" s="824"/>
      <c r="AFT244" s="824"/>
      <c r="AFU244" s="824"/>
      <c r="AFV244" s="824"/>
      <c r="AFW244" s="824"/>
      <c r="AFX244" s="824"/>
      <c r="AFY244" s="824"/>
      <c r="AFZ244" s="824"/>
      <c r="AGA244" s="824"/>
      <c r="AGB244" s="824"/>
      <c r="AGC244" s="824"/>
      <c r="AGD244" s="824"/>
      <c r="AGE244" s="824"/>
      <c r="AGF244" s="824"/>
      <c r="AGG244" s="824"/>
      <c r="AGH244" s="824"/>
      <c r="AGI244" s="824"/>
      <c r="AGJ244" s="824"/>
    </row>
    <row r="245" spans="1:868" s="825" customFormat="1" hidden="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c r="U245" s="824"/>
      <c r="V245" s="824"/>
      <c r="W245" s="824"/>
      <c r="X245" s="824"/>
      <c r="Y245" s="824"/>
      <c r="Z245" s="824"/>
      <c r="AA245" s="824"/>
      <c r="AB245" s="824"/>
      <c r="AC245" s="824"/>
      <c r="AD245" s="824"/>
      <c r="AE245" s="824"/>
      <c r="AF245" s="824"/>
      <c r="AG245" s="824"/>
      <c r="AH245" s="824"/>
      <c r="AI245" s="824"/>
      <c r="AJ245" s="824"/>
      <c r="AK245" s="824"/>
      <c r="AL245" s="824"/>
      <c r="AM245" s="824"/>
      <c r="AN245" s="824"/>
      <c r="AO245" s="824"/>
      <c r="AP245" s="824"/>
      <c r="AQ245" s="824"/>
      <c r="AR245" s="824"/>
      <c r="AS245" s="824"/>
      <c r="AT245" s="824"/>
      <c r="AU245" s="824"/>
      <c r="AV245" s="824"/>
      <c r="AW245" s="824"/>
      <c r="AX245" s="824"/>
      <c r="AY245" s="824"/>
      <c r="AZ245" s="824"/>
      <c r="BA245" s="824"/>
      <c r="BB245" s="824"/>
      <c r="BC245" s="824"/>
      <c r="BD245" s="824"/>
      <c r="BE245" s="824"/>
      <c r="BF245" s="824"/>
      <c r="BG245" s="824"/>
      <c r="BH245" s="824"/>
      <c r="BI245" s="824"/>
      <c r="BJ245" s="824"/>
      <c r="BK245" s="824"/>
      <c r="BL245" s="824"/>
      <c r="BM245" s="824"/>
      <c r="BN245" s="824"/>
      <c r="BO245" s="824"/>
      <c r="BP245" s="824"/>
      <c r="BQ245" s="824"/>
      <c r="BR245" s="824"/>
      <c r="BS245" s="824"/>
      <c r="BT245" s="824"/>
      <c r="BU245" s="824"/>
      <c r="BV245" s="824"/>
      <c r="BW245" s="824"/>
      <c r="BX245" s="824"/>
      <c r="BY245" s="824"/>
      <c r="BZ245" s="824"/>
      <c r="CA245" s="824"/>
      <c r="CB245" s="824"/>
      <c r="CC245" s="824"/>
      <c r="CD245" s="824"/>
      <c r="CE245" s="824"/>
      <c r="CF245" s="824"/>
      <c r="CG245" s="824"/>
      <c r="CH245" s="824"/>
      <c r="CI245" s="824"/>
      <c r="CJ245" s="824"/>
      <c r="CK245" s="824"/>
      <c r="CL245" s="824"/>
      <c r="CM245" s="824"/>
      <c r="CN245" s="824"/>
      <c r="CO245" s="824"/>
      <c r="CP245" s="824"/>
      <c r="CQ245" s="824"/>
      <c r="CR245" s="824"/>
      <c r="CS245" s="824"/>
      <c r="CT245" s="824"/>
      <c r="CU245" s="824"/>
      <c r="CV245" s="824"/>
      <c r="CW245" s="824"/>
      <c r="CX245" s="824"/>
      <c r="CY245" s="824"/>
      <c r="CZ245" s="824"/>
      <c r="DA245" s="824"/>
      <c r="DB245" s="824"/>
      <c r="DC245" s="824"/>
      <c r="DD245" s="824"/>
      <c r="DE245" s="824"/>
      <c r="DF245" s="824"/>
      <c r="DG245" s="824"/>
      <c r="DH245" s="824"/>
      <c r="DI245" s="824"/>
      <c r="DJ245" s="824"/>
      <c r="DK245" s="824"/>
      <c r="DL245" s="824"/>
      <c r="DM245" s="824"/>
      <c r="DN245" s="824"/>
      <c r="DO245" s="824"/>
      <c r="DP245" s="824"/>
      <c r="DQ245" s="824"/>
      <c r="DR245" s="824"/>
      <c r="DS245" s="824"/>
      <c r="DT245" s="824"/>
      <c r="DU245" s="824"/>
      <c r="DV245" s="824"/>
      <c r="DW245" s="824"/>
      <c r="DX245" s="824"/>
      <c r="DY245" s="824"/>
      <c r="DZ245" s="824"/>
      <c r="EA245" s="824"/>
      <c r="EB245" s="824"/>
      <c r="EC245" s="824"/>
      <c r="ED245" s="824"/>
      <c r="EE245" s="824"/>
      <c r="EF245" s="824"/>
      <c r="EG245" s="824"/>
      <c r="EH245" s="824"/>
      <c r="EI245" s="824"/>
      <c r="EJ245" s="824"/>
      <c r="EK245" s="824"/>
      <c r="EL245" s="824"/>
      <c r="EM245" s="824"/>
      <c r="EN245" s="824"/>
      <c r="EO245" s="824"/>
      <c r="EP245" s="824"/>
      <c r="EQ245" s="824"/>
      <c r="ER245" s="824"/>
      <c r="ES245" s="824"/>
      <c r="ET245" s="824"/>
      <c r="EU245" s="824"/>
      <c r="EV245" s="824"/>
      <c r="EW245" s="824"/>
      <c r="EX245" s="824"/>
      <c r="EY245" s="824"/>
      <c r="EZ245" s="824"/>
      <c r="FA245" s="824"/>
      <c r="FB245" s="824"/>
      <c r="FC245" s="824"/>
      <c r="FD245" s="824"/>
      <c r="FE245" s="824"/>
      <c r="FF245" s="824"/>
      <c r="FG245" s="824"/>
      <c r="FH245" s="824"/>
      <c r="FI245" s="824"/>
      <c r="FJ245" s="824"/>
      <c r="FK245" s="824"/>
      <c r="FL245" s="824"/>
      <c r="FM245" s="824"/>
      <c r="FN245" s="824"/>
      <c r="FO245" s="824"/>
      <c r="FP245" s="824"/>
      <c r="FQ245" s="824"/>
      <c r="FR245" s="824"/>
      <c r="FS245" s="824"/>
      <c r="FT245" s="824"/>
      <c r="FU245" s="824"/>
      <c r="FV245" s="824"/>
      <c r="FW245" s="824"/>
      <c r="FX245" s="824"/>
      <c r="FY245" s="824"/>
      <c r="FZ245" s="824"/>
      <c r="GA245" s="824"/>
      <c r="GB245" s="824"/>
      <c r="GC245" s="824"/>
      <c r="GD245" s="824"/>
      <c r="GE245" s="824"/>
      <c r="GF245" s="824"/>
      <c r="GG245" s="824"/>
      <c r="GH245" s="824"/>
      <c r="GI245" s="824"/>
      <c r="GJ245" s="824"/>
      <c r="GK245" s="824"/>
      <c r="GL245" s="824"/>
      <c r="GM245" s="824"/>
      <c r="GN245" s="824"/>
      <c r="GO245" s="824"/>
      <c r="GP245" s="824"/>
      <c r="GQ245" s="824"/>
      <c r="GR245" s="824"/>
      <c r="GS245" s="824"/>
      <c r="GT245" s="824"/>
      <c r="GU245" s="824"/>
      <c r="GV245" s="824"/>
      <c r="GW245" s="824"/>
      <c r="GX245" s="824"/>
      <c r="GY245" s="824"/>
      <c r="GZ245" s="824"/>
      <c r="HA245" s="824"/>
      <c r="HB245" s="824"/>
      <c r="HC245" s="824"/>
      <c r="HD245" s="824"/>
      <c r="HE245" s="824"/>
      <c r="HF245" s="824"/>
      <c r="HG245" s="824"/>
      <c r="HH245" s="824"/>
      <c r="HI245" s="824"/>
      <c r="HJ245" s="824"/>
      <c r="HK245" s="824"/>
      <c r="HL245" s="824"/>
      <c r="HM245" s="824"/>
      <c r="HN245" s="824"/>
      <c r="HO245" s="824"/>
      <c r="HP245" s="824"/>
      <c r="HQ245" s="824"/>
      <c r="HR245" s="824"/>
      <c r="HS245" s="824"/>
      <c r="HT245" s="824"/>
      <c r="HU245" s="824"/>
      <c r="HV245" s="824"/>
      <c r="HW245" s="824"/>
      <c r="HX245" s="824"/>
      <c r="HY245" s="824"/>
      <c r="HZ245" s="824"/>
      <c r="IA245" s="824"/>
      <c r="IB245" s="824"/>
      <c r="IC245" s="824"/>
      <c r="ID245" s="824"/>
      <c r="IE245" s="824"/>
      <c r="IF245" s="824"/>
      <c r="IG245" s="824"/>
      <c r="IH245" s="824"/>
      <c r="II245" s="824"/>
      <c r="IJ245" s="824"/>
      <c r="IK245" s="824"/>
      <c r="IL245" s="824"/>
      <c r="IM245" s="824"/>
      <c r="IN245" s="824"/>
      <c r="IO245" s="824"/>
      <c r="IP245" s="824"/>
      <c r="IQ245" s="824"/>
      <c r="IR245" s="824"/>
      <c r="IS245" s="824"/>
      <c r="IT245" s="824"/>
      <c r="IU245" s="824"/>
      <c r="IV245" s="824"/>
      <c r="IW245" s="824"/>
      <c r="IX245" s="824"/>
      <c r="IY245" s="824"/>
      <c r="IZ245" s="824"/>
      <c r="JA245" s="824"/>
      <c r="JB245" s="824"/>
      <c r="JC245" s="824"/>
      <c r="JD245" s="824"/>
      <c r="JE245" s="824"/>
      <c r="JF245" s="824"/>
      <c r="JG245" s="824"/>
      <c r="JH245" s="824"/>
      <c r="JI245" s="824"/>
      <c r="JJ245" s="824"/>
      <c r="JK245" s="824"/>
      <c r="JL245" s="824"/>
      <c r="JM245" s="824"/>
      <c r="JN245" s="824"/>
      <c r="JO245" s="824"/>
      <c r="JP245" s="824"/>
      <c r="JQ245" s="824"/>
      <c r="JR245" s="824"/>
      <c r="JS245" s="824"/>
      <c r="JT245" s="824"/>
      <c r="JU245" s="824"/>
      <c r="JV245" s="824"/>
      <c r="JW245" s="824"/>
      <c r="JX245" s="824"/>
      <c r="JY245" s="824"/>
      <c r="JZ245" s="824"/>
      <c r="KA245" s="824"/>
      <c r="KB245" s="824"/>
      <c r="KC245" s="824"/>
      <c r="KD245" s="824"/>
      <c r="KE245" s="824"/>
      <c r="KF245" s="824"/>
      <c r="KG245" s="824"/>
      <c r="KH245" s="824"/>
      <c r="KI245" s="824"/>
      <c r="KJ245" s="824"/>
      <c r="KK245" s="824"/>
      <c r="KL245" s="824"/>
      <c r="KM245" s="824"/>
      <c r="KN245" s="824"/>
      <c r="KO245" s="824"/>
      <c r="KP245" s="824"/>
      <c r="KQ245" s="824"/>
      <c r="KR245" s="824"/>
      <c r="KS245" s="824"/>
      <c r="KT245" s="824"/>
      <c r="KU245" s="824"/>
      <c r="KV245" s="824"/>
      <c r="KW245" s="824"/>
      <c r="KX245" s="824"/>
      <c r="KY245" s="824"/>
      <c r="KZ245" s="824"/>
      <c r="LA245" s="824"/>
      <c r="LB245" s="824"/>
      <c r="LC245" s="824"/>
      <c r="LD245" s="824"/>
      <c r="LE245" s="824"/>
      <c r="LF245" s="824"/>
      <c r="LG245" s="824"/>
      <c r="LH245" s="824"/>
      <c r="LI245" s="824"/>
      <c r="LJ245" s="824"/>
      <c r="LK245" s="824"/>
      <c r="LL245" s="824"/>
      <c r="LM245" s="824"/>
      <c r="LN245" s="824"/>
      <c r="LO245" s="824"/>
      <c r="LP245" s="824"/>
      <c r="LQ245" s="824"/>
      <c r="LR245" s="824"/>
      <c r="LS245" s="824"/>
      <c r="LT245" s="824"/>
      <c r="LU245" s="824"/>
      <c r="LV245" s="824"/>
      <c r="LW245" s="824"/>
      <c r="LX245" s="824"/>
      <c r="LY245" s="824"/>
      <c r="LZ245" s="824"/>
      <c r="MA245" s="824"/>
      <c r="MB245" s="824"/>
      <c r="MC245" s="824"/>
      <c r="MD245" s="824"/>
      <c r="ME245" s="824"/>
      <c r="MF245" s="824"/>
      <c r="MG245" s="824"/>
      <c r="MH245" s="824"/>
      <c r="MI245" s="824"/>
      <c r="MJ245" s="824"/>
      <c r="MK245" s="824"/>
      <c r="ML245" s="824"/>
      <c r="MM245" s="824"/>
      <c r="MN245" s="824"/>
      <c r="MO245" s="824"/>
      <c r="MP245" s="824"/>
      <c r="MQ245" s="824"/>
      <c r="MR245" s="824"/>
      <c r="MS245" s="824"/>
      <c r="MT245" s="824"/>
      <c r="MU245" s="824"/>
      <c r="MV245" s="824"/>
      <c r="MW245" s="824"/>
      <c r="MX245" s="824"/>
      <c r="MY245" s="824"/>
      <c r="MZ245" s="824"/>
      <c r="NA245" s="824"/>
      <c r="NB245" s="824"/>
      <c r="NC245" s="824"/>
      <c r="ND245" s="824"/>
      <c r="NE245" s="824"/>
      <c r="NF245" s="824"/>
      <c r="NG245" s="824"/>
      <c r="NH245" s="824"/>
      <c r="NI245" s="824"/>
      <c r="NJ245" s="824"/>
      <c r="NK245" s="824"/>
      <c r="NL245" s="824"/>
      <c r="NM245" s="824"/>
      <c r="NN245" s="824"/>
      <c r="NO245" s="824"/>
      <c r="NP245" s="824"/>
      <c r="NQ245" s="824"/>
      <c r="NR245" s="824"/>
      <c r="NS245" s="824"/>
      <c r="NT245" s="824"/>
      <c r="NU245" s="824"/>
      <c r="NV245" s="824"/>
      <c r="NW245" s="824"/>
      <c r="NX245" s="824"/>
      <c r="NY245" s="824"/>
      <c r="NZ245" s="824"/>
      <c r="OA245" s="824"/>
      <c r="OB245" s="824"/>
      <c r="OC245" s="824"/>
      <c r="OD245" s="824"/>
      <c r="OE245" s="824"/>
      <c r="OF245" s="824"/>
      <c r="OG245" s="824"/>
      <c r="OH245" s="824"/>
      <c r="OI245" s="824"/>
      <c r="OJ245" s="824"/>
      <c r="OK245" s="824"/>
      <c r="OL245" s="824"/>
      <c r="OM245" s="824"/>
      <c r="ON245" s="824"/>
      <c r="OO245" s="824"/>
      <c r="OP245" s="824"/>
      <c r="OQ245" s="824"/>
      <c r="OR245" s="824"/>
      <c r="OS245" s="824"/>
      <c r="OT245" s="824"/>
      <c r="OU245" s="824"/>
      <c r="OV245" s="824"/>
      <c r="OW245" s="824"/>
      <c r="OX245" s="824"/>
      <c r="OY245" s="824"/>
      <c r="OZ245" s="824"/>
      <c r="PA245" s="824"/>
      <c r="PB245" s="824"/>
      <c r="PC245" s="824"/>
      <c r="PD245" s="824"/>
      <c r="PE245" s="824"/>
      <c r="PF245" s="824"/>
      <c r="PG245" s="824"/>
      <c r="PH245" s="824"/>
      <c r="PI245" s="824"/>
      <c r="PJ245" s="824"/>
      <c r="PK245" s="824"/>
      <c r="PL245" s="824"/>
      <c r="PM245" s="824"/>
      <c r="PN245" s="824"/>
      <c r="PO245" s="824"/>
      <c r="PP245" s="824"/>
      <c r="PQ245" s="824"/>
      <c r="PR245" s="824"/>
      <c r="PS245" s="824"/>
      <c r="PT245" s="824"/>
      <c r="PU245" s="824"/>
      <c r="PV245" s="824"/>
      <c r="PW245" s="824"/>
      <c r="PX245" s="824"/>
      <c r="PY245" s="824"/>
      <c r="PZ245" s="824"/>
      <c r="QA245" s="824"/>
      <c r="QB245" s="824"/>
      <c r="QC245" s="824"/>
      <c r="QD245" s="824"/>
      <c r="QE245" s="824"/>
      <c r="QF245" s="824"/>
      <c r="QG245" s="824"/>
      <c r="QH245" s="824"/>
      <c r="QI245" s="824"/>
      <c r="QJ245" s="824"/>
      <c r="QK245" s="824"/>
      <c r="QL245" s="824"/>
      <c r="QM245" s="824"/>
      <c r="QN245" s="824"/>
      <c r="QO245" s="824"/>
      <c r="QP245" s="824"/>
      <c r="QQ245" s="824"/>
      <c r="QR245" s="824"/>
      <c r="QS245" s="824"/>
      <c r="QT245" s="824"/>
      <c r="QU245" s="824"/>
      <c r="QV245" s="824"/>
      <c r="QW245" s="824"/>
      <c r="QX245" s="824"/>
      <c r="QY245" s="824"/>
      <c r="QZ245" s="824"/>
      <c r="RA245" s="824"/>
      <c r="RB245" s="824"/>
      <c r="RC245" s="824"/>
      <c r="RD245" s="824"/>
      <c r="RE245" s="824"/>
      <c r="RF245" s="824"/>
      <c r="RG245" s="824"/>
      <c r="RH245" s="824"/>
      <c r="RI245" s="824"/>
      <c r="RJ245" s="824"/>
      <c r="RK245" s="824"/>
      <c r="RL245" s="824"/>
      <c r="RM245" s="824"/>
      <c r="RN245" s="824"/>
      <c r="RO245" s="824"/>
      <c r="RP245" s="824"/>
      <c r="RQ245" s="824"/>
      <c r="RR245" s="824"/>
      <c r="RS245" s="824"/>
      <c r="RT245" s="824"/>
      <c r="RU245" s="824"/>
      <c r="RV245" s="824"/>
      <c r="RW245" s="824"/>
      <c r="RX245" s="824"/>
      <c r="RY245" s="824"/>
      <c r="RZ245" s="824"/>
      <c r="SA245" s="824"/>
      <c r="SB245" s="824"/>
      <c r="SC245" s="824"/>
      <c r="SD245" s="824"/>
      <c r="SE245" s="824"/>
      <c r="SF245" s="824"/>
      <c r="SG245" s="824"/>
      <c r="SH245" s="824"/>
      <c r="SI245" s="824"/>
      <c r="SJ245" s="824"/>
      <c r="SK245" s="824"/>
      <c r="SL245" s="824"/>
      <c r="SM245" s="824"/>
      <c r="SN245" s="824"/>
      <c r="SO245" s="824"/>
      <c r="SP245" s="824"/>
      <c r="SQ245" s="824"/>
      <c r="SR245" s="824"/>
      <c r="SS245" s="824"/>
      <c r="ST245" s="824"/>
      <c r="SU245" s="824"/>
      <c r="SV245" s="824"/>
      <c r="SW245" s="824"/>
      <c r="SX245" s="824"/>
      <c r="SY245" s="824"/>
      <c r="SZ245" s="824"/>
      <c r="TA245" s="824"/>
      <c r="TB245" s="824"/>
      <c r="TC245" s="824"/>
      <c r="TD245" s="824"/>
      <c r="TE245" s="824"/>
      <c r="TF245" s="824"/>
      <c r="TG245" s="824"/>
      <c r="TH245" s="824"/>
      <c r="TI245" s="824"/>
      <c r="TJ245" s="824"/>
      <c r="TK245" s="824"/>
      <c r="TL245" s="824"/>
      <c r="TM245" s="824"/>
      <c r="TN245" s="824"/>
      <c r="TO245" s="824"/>
      <c r="TP245" s="824"/>
      <c r="TQ245" s="824"/>
      <c r="TR245" s="824"/>
      <c r="TS245" s="824"/>
      <c r="TT245" s="824"/>
      <c r="TU245" s="824"/>
      <c r="TV245" s="824"/>
      <c r="TW245" s="824"/>
      <c r="TX245" s="824"/>
      <c r="TY245" s="824"/>
      <c r="TZ245" s="824"/>
      <c r="UA245" s="824"/>
      <c r="UB245" s="824"/>
      <c r="UC245" s="824"/>
      <c r="UD245" s="824"/>
      <c r="UE245" s="824"/>
      <c r="UF245" s="824"/>
      <c r="UG245" s="824"/>
      <c r="UH245" s="824"/>
      <c r="UI245" s="824"/>
      <c r="UJ245" s="824"/>
      <c r="UK245" s="824"/>
      <c r="UL245" s="824"/>
      <c r="UM245" s="824"/>
      <c r="UN245" s="824"/>
      <c r="UO245" s="824"/>
      <c r="UP245" s="824"/>
      <c r="UQ245" s="824"/>
      <c r="UR245" s="824"/>
      <c r="US245" s="824"/>
      <c r="UT245" s="824"/>
      <c r="UU245" s="824"/>
      <c r="UV245" s="824"/>
      <c r="UW245" s="824"/>
      <c r="UX245" s="824"/>
      <c r="UY245" s="824"/>
      <c r="UZ245" s="824"/>
      <c r="VA245" s="824"/>
      <c r="VB245" s="824"/>
      <c r="VC245" s="824"/>
      <c r="VD245" s="824"/>
      <c r="VE245" s="824"/>
      <c r="VF245" s="824"/>
      <c r="VG245" s="824"/>
      <c r="VH245" s="824"/>
      <c r="VI245" s="824"/>
      <c r="VJ245" s="824"/>
      <c r="VK245" s="824"/>
      <c r="VL245" s="824"/>
      <c r="VM245" s="824"/>
      <c r="VN245" s="824"/>
      <c r="VO245" s="824"/>
      <c r="VP245" s="824"/>
      <c r="VQ245" s="824"/>
      <c r="VR245" s="824"/>
      <c r="VS245" s="824"/>
      <c r="VT245" s="824"/>
      <c r="VU245" s="824"/>
      <c r="VV245" s="824"/>
      <c r="VW245" s="824"/>
      <c r="VX245" s="824"/>
      <c r="VY245" s="824"/>
      <c r="VZ245" s="824"/>
      <c r="WA245" s="824"/>
      <c r="WB245" s="824"/>
      <c r="WC245" s="824"/>
      <c r="WD245" s="824"/>
      <c r="WE245" s="824"/>
      <c r="WF245" s="824"/>
      <c r="WG245" s="824"/>
      <c r="WH245" s="824"/>
      <c r="WI245" s="824"/>
      <c r="WJ245" s="824"/>
      <c r="WK245" s="824"/>
      <c r="WL245" s="824"/>
      <c r="WM245" s="824"/>
      <c r="WN245" s="824"/>
      <c r="WO245" s="824"/>
      <c r="WP245" s="824"/>
      <c r="WQ245" s="824"/>
      <c r="WR245" s="824"/>
      <c r="WS245" s="824"/>
      <c r="WT245" s="824"/>
      <c r="WU245" s="824"/>
      <c r="WV245" s="824"/>
      <c r="WW245" s="824"/>
      <c r="WX245" s="824"/>
      <c r="WY245" s="824"/>
      <c r="WZ245" s="824"/>
      <c r="XA245" s="824"/>
      <c r="XB245" s="824"/>
      <c r="XC245" s="824"/>
      <c r="XD245" s="824"/>
      <c r="XE245" s="824"/>
      <c r="XF245" s="824"/>
      <c r="XG245" s="824"/>
      <c r="XH245" s="824"/>
      <c r="XI245" s="824"/>
      <c r="XJ245" s="824"/>
      <c r="XK245" s="824"/>
      <c r="XL245" s="824"/>
      <c r="XM245" s="824"/>
      <c r="XN245" s="824"/>
      <c r="XO245" s="824"/>
      <c r="XP245" s="824"/>
      <c r="XQ245" s="824"/>
      <c r="XR245" s="824"/>
      <c r="XS245" s="824"/>
      <c r="XT245" s="824"/>
      <c r="XU245" s="824"/>
      <c r="XV245" s="824"/>
      <c r="XW245" s="824"/>
      <c r="XX245" s="824"/>
      <c r="XY245" s="824"/>
      <c r="XZ245" s="824"/>
      <c r="YA245" s="824"/>
      <c r="YB245" s="824"/>
      <c r="YC245" s="824"/>
      <c r="YD245" s="824"/>
      <c r="YE245" s="824"/>
      <c r="YF245" s="824"/>
      <c r="YG245" s="824"/>
      <c r="YH245" s="824"/>
      <c r="YI245" s="824"/>
      <c r="YJ245" s="824"/>
      <c r="YK245" s="824"/>
      <c r="YL245" s="824"/>
      <c r="YM245" s="824"/>
      <c r="YN245" s="824"/>
      <c r="YO245" s="824"/>
      <c r="YP245" s="824"/>
      <c r="YQ245" s="824"/>
      <c r="YR245" s="824"/>
      <c r="YS245" s="824"/>
      <c r="YT245" s="824"/>
      <c r="YU245" s="824"/>
      <c r="YV245" s="824"/>
      <c r="YW245" s="824"/>
      <c r="YX245" s="824"/>
      <c r="YY245" s="824"/>
      <c r="YZ245" s="824"/>
      <c r="ZA245" s="824"/>
      <c r="ZB245" s="824"/>
      <c r="ZC245" s="824"/>
      <c r="ZD245" s="824"/>
      <c r="ZE245" s="824"/>
      <c r="ZF245" s="824"/>
      <c r="ZG245" s="824"/>
      <c r="ZH245" s="824"/>
      <c r="ZI245" s="824"/>
      <c r="ZJ245" s="824"/>
      <c r="ZK245" s="824"/>
      <c r="ZL245" s="824"/>
      <c r="ZM245" s="824"/>
      <c r="ZN245" s="824"/>
      <c r="ZO245" s="824"/>
      <c r="ZP245" s="824"/>
      <c r="ZQ245" s="824"/>
      <c r="ZR245" s="824"/>
      <c r="ZS245" s="824"/>
      <c r="ZT245" s="824"/>
      <c r="ZU245" s="824"/>
      <c r="ZV245" s="824"/>
      <c r="ZW245" s="824"/>
      <c r="ZX245" s="824"/>
      <c r="ZY245" s="824"/>
      <c r="ZZ245" s="824"/>
      <c r="AAA245" s="824"/>
      <c r="AAB245" s="824"/>
      <c r="AAC245" s="824"/>
      <c r="AAD245" s="824"/>
      <c r="AAE245" s="824"/>
      <c r="AAF245" s="824"/>
      <c r="AAG245" s="824"/>
      <c r="AAH245" s="824"/>
      <c r="AAI245" s="824"/>
      <c r="AAJ245" s="824"/>
      <c r="AAK245" s="824"/>
      <c r="AAL245" s="824"/>
      <c r="AAM245" s="824"/>
      <c r="AAN245" s="824"/>
      <c r="AAO245" s="824"/>
      <c r="AAP245" s="824"/>
      <c r="AAQ245" s="824"/>
      <c r="AAR245" s="824"/>
      <c r="AAS245" s="824"/>
      <c r="AAT245" s="824"/>
      <c r="AAU245" s="824"/>
      <c r="AAV245" s="824"/>
      <c r="AAW245" s="824"/>
      <c r="AAX245" s="824"/>
      <c r="AAY245" s="824"/>
      <c r="AAZ245" s="824"/>
      <c r="ABA245" s="824"/>
      <c r="ABB245" s="824"/>
      <c r="ABC245" s="824"/>
      <c r="ABD245" s="824"/>
      <c r="ABE245" s="824"/>
      <c r="ABF245" s="824"/>
      <c r="ABG245" s="824"/>
      <c r="ABH245" s="824"/>
      <c r="ABI245" s="824"/>
      <c r="ABJ245" s="824"/>
      <c r="ABK245" s="824"/>
      <c r="ABL245" s="824"/>
      <c r="ABM245" s="824"/>
      <c r="ABN245" s="824"/>
      <c r="ABO245" s="824"/>
      <c r="ABP245" s="824"/>
      <c r="ABQ245" s="824"/>
      <c r="ABR245" s="824"/>
      <c r="ABS245" s="824"/>
      <c r="ABT245" s="824"/>
      <c r="ABU245" s="824"/>
      <c r="ABV245" s="824"/>
      <c r="ABW245" s="824"/>
      <c r="ABX245" s="824"/>
      <c r="ABY245" s="824"/>
      <c r="ABZ245" s="824"/>
      <c r="ACA245" s="824"/>
      <c r="ACB245" s="824"/>
      <c r="ACC245" s="824"/>
      <c r="ACD245" s="824"/>
      <c r="ACE245" s="824"/>
      <c r="ACF245" s="824"/>
      <c r="ACG245" s="824"/>
      <c r="ACH245" s="824"/>
      <c r="ACI245" s="824"/>
      <c r="ACJ245" s="824"/>
      <c r="ACK245" s="824"/>
      <c r="ACL245" s="824"/>
      <c r="ACM245" s="824"/>
      <c r="ACN245" s="824"/>
      <c r="ACO245" s="824"/>
      <c r="ACP245" s="824"/>
      <c r="ACQ245" s="824"/>
      <c r="ACR245" s="824"/>
      <c r="ACS245" s="824"/>
      <c r="ACT245" s="824"/>
      <c r="ACU245" s="824"/>
      <c r="ACV245" s="824"/>
      <c r="ACW245" s="824"/>
      <c r="ACX245" s="824"/>
      <c r="ACY245" s="824"/>
      <c r="ACZ245" s="824"/>
      <c r="ADA245" s="824"/>
      <c r="ADB245" s="824"/>
      <c r="ADC245" s="824"/>
      <c r="ADD245" s="824"/>
      <c r="ADE245" s="824"/>
      <c r="ADF245" s="824"/>
      <c r="ADG245" s="824"/>
      <c r="ADH245" s="824"/>
      <c r="ADI245" s="824"/>
      <c r="ADJ245" s="824"/>
      <c r="ADK245" s="824"/>
      <c r="ADL245" s="824"/>
      <c r="ADM245" s="824"/>
      <c r="ADN245" s="824"/>
      <c r="ADO245" s="824"/>
      <c r="ADP245" s="824"/>
      <c r="ADQ245" s="824"/>
      <c r="ADR245" s="824"/>
      <c r="ADS245" s="824"/>
      <c r="ADT245" s="824"/>
      <c r="ADU245" s="824"/>
      <c r="ADV245" s="824"/>
      <c r="ADW245" s="824"/>
      <c r="ADX245" s="824"/>
      <c r="ADY245" s="824"/>
      <c r="ADZ245" s="824"/>
      <c r="AEA245" s="824"/>
      <c r="AEB245" s="824"/>
      <c r="AEC245" s="824"/>
      <c r="AED245" s="824"/>
      <c r="AEE245" s="824"/>
      <c r="AEF245" s="824"/>
      <c r="AEG245" s="824"/>
      <c r="AEH245" s="824"/>
      <c r="AEI245" s="824"/>
      <c r="AEJ245" s="824"/>
      <c r="AEK245" s="824"/>
      <c r="AEL245" s="824"/>
      <c r="AEM245" s="824"/>
      <c r="AEN245" s="824"/>
      <c r="AEO245" s="824"/>
      <c r="AEP245" s="824"/>
      <c r="AEQ245" s="824"/>
      <c r="AER245" s="824"/>
      <c r="AES245" s="824"/>
      <c r="AET245" s="824"/>
      <c r="AEU245" s="824"/>
      <c r="AEV245" s="824"/>
      <c r="AEW245" s="824"/>
      <c r="AEX245" s="824"/>
      <c r="AEY245" s="824"/>
      <c r="AEZ245" s="824"/>
      <c r="AFA245" s="824"/>
      <c r="AFB245" s="824"/>
      <c r="AFC245" s="824"/>
      <c r="AFD245" s="824"/>
      <c r="AFE245" s="824"/>
      <c r="AFF245" s="824"/>
      <c r="AFG245" s="824"/>
      <c r="AFH245" s="824"/>
      <c r="AFI245" s="824"/>
      <c r="AFJ245" s="824"/>
      <c r="AFK245" s="824"/>
      <c r="AFL245" s="824"/>
      <c r="AFM245" s="824"/>
      <c r="AFN245" s="824"/>
      <c r="AFO245" s="824"/>
      <c r="AFP245" s="824"/>
      <c r="AFQ245" s="824"/>
      <c r="AFR245" s="824"/>
      <c r="AFS245" s="824"/>
      <c r="AFT245" s="824"/>
      <c r="AFU245" s="824"/>
      <c r="AFV245" s="824"/>
      <c r="AFW245" s="824"/>
      <c r="AFX245" s="824"/>
      <c r="AFY245" s="824"/>
      <c r="AFZ245" s="824"/>
      <c r="AGA245" s="824"/>
      <c r="AGB245" s="824"/>
      <c r="AGC245" s="824"/>
      <c r="AGD245" s="824"/>
      <c r="AGE245" s="824"/>
      <c r="AGF245" s="824"/>
      <c r="AGG245" s="824"/>
      <c r="AGH245" s="824"/>
      <c r="AGI245" s="824"/>
      <c r="AGJ245" s="824"/>
    </row>
    <row r="246" spans="1:868" s="825" customFormat="1" hidden="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c r="U246" s="824"/>
      <c r="V246" s="824"/>
      <c r="W246" s="824"/>
      <c r="X246" s="824"/>
      <c r="Y246" s="824"/>
      <c r="Z246" s="824"/>
      <c r="AA246" s="824"/>
      <c r="AB246" s="824"/>
      <c r="AC246" s="824"/>
      <c r="AD246" s="824"/>
      <c r="AE246" s="824"/>
      <c r="AF246" s="824"/>
      <c r="AG246" s="824"/>
      <c r="AH246" s="824"/>
      <c r="AI246" s="824"/>
      <c r="AJ246" s="824"/>
      <c r="AK246" s="824"/>
      <c r="AL246" s="824"/>
      <c r="AM246" s="824"/>
      <c r="AN246" s="824"/>
      <c r="AO246" s="824"/>
      <c r="AP246" s="824"/>
      <c r="AQ246" s="824"/>
      <c r="AR246" s="824"/>
      <c r="AS246" s="824"/>
      <c r="AT246" s="824"/>
      <c r="AU246" s="824"/>
      <c r="AV246" s="824"/>
      <c r="AW246" s="824"/>
      <c r="AX246" s="824"/>
      <c r="AY246" s="824"/>
      <c r="AZ246" s="824"/>
      <c r="BA246" s="824"/>
      <c r="BB246" s="824"/>
      <c r="BC246" s="824"/>
      <c r="BD246" s="824"/>
      <c r="BE246" s="824"/>
      <c r="BF246" s="824"/>
      <c r="BG246" s="824"/>
      <c r="BH246" s="824"/>
      <c r="BI246" s="824"/>
      <c r="BJ246" s="824"/>
      <c r="BK246" s="824"/>
      <c r="BL246" s="824"/>
      <c r="BM246" s="824"/>
      <c r="BN246" s="824"/>
      <c r="BO246" s="824"/>
      <c r="BP246" s="824"/>
      <c r="BQ246" s="824"/>
      <c r="BR246" s="824"/>
      <c r="BS246" s="824"/>
      <c r="BT246" s="824"/>
      <c r="BU246" s="824"/>
      <c r="BV246" s="824"/>
      <c r="BW246" s="824"/>
      <c r="BX246" s="824"/>
      <c r="BY246" s="824"/>
      <c r="BZ246" s="824"/>
      <c r="CA246" s="824"/>
      <c r="CB246" s="824"/>
      <c r="CC246" s="824"/>
      <c r="CD246" s="824"/>
      <c r="CE246" s="824"/>
      <c r="CF246" s="824"/>
      <c r="CG246" s="824"/>
      <c r="CH246" s="824"/>
      <c r="CI246" s="824"/>
      <c r="CJ246" s="824"/>
      <c r="CK246" s="824"/>
      <c r="CL246" s="824"/>
      <c r="CM246" s="824"/>
      <c r="CN246" s="824"/>
      <c r="CO246" s="824"/>
      <c r="CP246" s="824"/>
      <c r="CQ246" s="824"/>
      <c r="CR246" s="824"/>
      <c r="CS246" s="824"/>
      <c r="CT246" s="824"/>
      <c r="CU246" s="824"/>
      <c r="CV246" s="824"/>
      <c r="CW246" s="824"/>
      <c r="CX246" s="824"/>
      <c r="CY246" s="824"/>
      <c r="CZ246" s="824"/>
      <c r="DA246" s="824"/>
      <c r="DB246" s="824"/>
      <c r="DC246" s="824"/>
      <c r="DD246" s="824"/>
      <c r="DE246" s="824"/>
      <c r="DF246" s="824"/>
      <c r="DG246" s="824"/>
      <c r="DH246" s="824"/>
      <c r="DI246" s="824"/>
      <c r="DJ246" s="824"/>
      <c r="DK246" s="824"/>
      <c r="DL246" s="824"/>
      <c r="DM246" s="824"/>
      <c r="DN246" s="824"/>
      <c r="DO246" s="824"/>
      <c r="DP246" s="824"/>
      <c r="DQ246" s="824"/>
      <c r="DR246" s="824"/>
      <c r="DS246" s="824"/>
      <c r="DT246" s="824"/>
      <c r="DU246" s="824"/>
      <c r="DV246" s="824"/>
      <c r="DW246" s="824"/>
      <c r="DX246" s="824"/>
      <c r="DY246" s="824"/>
      <c r="DZ246" s="824"/>
      <c r="EA246" s="824"/>
      <c r="EB246" s="824"/>
      <c r="EC246" s="824"/>
      <c r="ED246" s="824"/>
      <c r="EE246" s="824"/>
      <c r="EF246" s="824"/>
      <c r="EG246" s="824"/>
      <c r="EH246" s="824"/>
      <c r="EI246" s="824"/>
      <c r="EJ246" s="824"/>
      <c r="EK246" s="824"/>
      <c r="EL246" s="824"/>
      <c r="EM246" s="824"/>
      <c r="EN246" s="824"/>
      <c r="EO246" s="824"/>
      <c r="EP246" s="824"/>
      <c r="EQ246" s="824"/>
      <c r="ER246" s="824"/>
      <c r="ES246" s="824"/>
      <c r="ET246" s="824"/>
      <c r="EU246" s="824"/>
      <c r="EV246" s="824"/>
      <c r="EW246" s="824"/>
      <c r="EX246" s="824"/>
      <c r="EY246" s="824"/>
      <c r="EZ246" s="824"/>
      <c r="FA246" s="824"/>
      <c r="FB246" s="824"/>
      <c r="FC246" s="824"/>
      <c r="FD246" s="824"/>
      <c r="FE246" s="824"/>
      <c r="FF246" s="824"/>
      <c r="FG246" s="824"/>
      <c r="FH246" s="824"/>
      <c r="FI246" s="824"/>
      <c r="FJ246" s="824"/>
      <c r="FK246" s="824"/>
      <c r="FL246" s="824"/>
      <c r="FM246" s="824"/>
      <c r="FN246" s="824"/>
      <c r="FO246" s="824"/>
      <c r="FP246" s="824"/>
      <c r="FQ246" s="824"/>
      <c r="FR246" s="824"/>
      <c r="FS246" s="824"/>
      <c r="FT246" s="824"/>
      <c r="FU246" s="824"/>
      <c r="FV246" s="824"/>
      <c r="FW246" s="824"/>
      <c r="FX246" s="824"/>
      <c r="FY246" s="824"/>
      <c r="FZ246" s="824"/>
      <c r="GA246" s="824"/>
      <c r="GB246" s="824"/>
      <c r="GC246" s="824"/>
      <c r="GD246" s="824"/>
      <c r="GE246" s="824"/>
      <c r="GF246" s="824"/>
      <c r="GG246" s="824"/>
      <c r="GH246" s="824"/>
      <c r="GI246" s="824"/>
      <c r="GJ246" s="824"/>
      <c r="GK246" s="824"/>
      <c r="GL246" s="824"/>
      <c r="GM246" s="824"/>
      <c r="GN246" s="824"/>
      <c r="GO246" s="824"/>
      <c r="GP246" s="824"/>
      <c r="GQ246" s="824"/>
      <c r="GR246" s="824"/>
      <c r="GS246" s="824"/>
      <c r="GT246" s="824"/>
      <c r="GU246" s="824"/>
      <c r="GV246" s="824"/>
      <c r="GW246" s="824"/>
      <c r="GX246" s="824"/>
      <c r="GY246" s="824"/>
      <c r="GZ246" s="824"/>
      <c r="HA246" s="824"/>
      <c r="HB246" s="824"/>
      <c r="HC246" s="824"/>
      <c r="HD246" s="824"/>
      <c r="HE246" s="824"/>
      <c r="HF246" s="824"/>
      <c r="HG246" s="824"/>
      <c r="HH246" s="824"/>
      <c r="HI246" s="824"/>
      <c r="HJ246" s="824"/>
      <c r="HK246" s="824"/>
      <c r="HL246" s="824"/>
      <c r="HM246" s="824"/>
      <c r="HN246" s="824"/>
      <c r="HO246" s="824"/>
      <c r="HP246" s="824"/>
      <c r="HQ246" s="824"/>
      <c r="HR246" s="824"/>
      <c r="HS246" s="824"/>
      <c r="HT246" s="824"/>
      <c r="HU246" s="824"/>
      <c r="HV246" s="824"/>
      <c r="HW246" s="824"/>
      <c r="HX246" s="824"/>
      <c r="HY246" s="824"/>
      <c r="HZ246" s="824"/>
      <c r="IA246" s="824"/>
      <c r="IB246" s="824"/>
      <c r="IC246" s="824"/>
      <c r="ID246" s="824"/>
      <c r="IE246" s="824"/>
      <c r="IF246" s="824"/>
      <c r="IG246" s="824"/>
      <c r="IH246" s="824"/>
      <c r="II246" s="824"/>
      <c r="IJ246" s="824"/>
      <c r="IK246" s="824"/>
      <c r="IL246" s="824"/>
      <c r="IM246" s="824"/>
      <c r="IN246" s="824"/>
      <c r="IO246" s="824"/>
      <c r="IP246" s="824"/>
      <c r="IQ246" s="824"/>
      <c r="IR246" s="824"/>
      <c r="IS246" s="824"/>
      <c r="IT246" s="824"/>
      <c r="IU246" s="824"/>
      <c r="IV246" s="824"/>
      <c r="IW246" s="824"/>
      <c r="IX246" s="824"/>
      <c r="IY246" s="824"/>
      <c r="IZ246" s="824"/>
      <c r="JA246" s="824"/>
      <c r="JB246" s="824"/>
      <c r="JC246" s="824"/>
      <c r="JD246" s="824"/>
      <c r="JE246" s="824"/>
      <c r="JF246" s="824"/>
      <c r="JG246" s="824"/>
      <c r="JH246" s="824"/>
      <c r="JI246" s="824"/>
      <c r="JJ246" s="824"/>
      <c r="JK246" s="824"/>
      <c r="JL246" s="824"/>
      <c r="JM246" s="824"/>
      <c r="JN246" s="824"/>
      <c r="JO246" s="824"/>
      <c r="JP246" s="824"/>
      <c r="JQ246" s="824"/>
      <c r="JR246" s="824"/>
      <c r="JS246" s="824"/>
      <c r="JT246" s="824"/>
      <c r="JU246" s="824"/>
      <c r="JV246" s="824"/>
      <c r="JW246" s="824"/>
      <c r="JX246" s="824"/>
      <c r="JY246" s="824"/>
      <c r="JZ246" s="824"/>
      <c r="KA246" s="824"/>
      <c r="KB246" s="824"/>
      <c r="KC246" s="824"/>
      <c r="KD246" s="824"/>
      <c r="KE246" s="824"/>
      <c r="KF246" s="824"/>
      <c r="KG246" s="824"/>
      <c r="KH246" s="824"/>
      <c r="KI246" s="824"/>
      <c r="KJ246" s="824"/>
      <c r="KK246" s="824"/>
      <c r="KL246" s="824"/>
      <c r="KM246" s="824"/>
      <c r="KN246" s="824"/>
      <c r="KO246" s="824"/>
      <c r="KP246" s="824"/>
      <c r="KQ246" s="824"/>
      <c r="KR246" s="824"/>
      <c r="KS246" s="824"/>
      <c r="KT246" s="824"/>
      <c r="KU246" s="824"/>
      <c r="KV246" s="824"/>
      <c r="KW246" s="824"/>
      <c r="KX246" s="824"/>
      <c r="KY246" s="824"/>
      <c r="KZ246" s="824"/>
      <c r="LA246" s="824"/>
      <c r="LB246" s="824"/>
      <c r="LC246" s="824"/>
      <c r="LD246" s="824"/>
      <c r="LE246" s="824"/>
      <c r="LF246" s="824"/>
      <c r="LG246" s="824"/>
      <c r="LH246" s="824"/>
      <c r="LI246" s="824"/>
      <c r="LJ246" s="824"/>
      <c r="LK246" s="824"/>
      <c r="LL246" s="824"/>
      <c r="LM246" s="824"/>
      <c r="LN246" s="824"/>
      <c r="LO246" s="824"/>
      <c r="LP246" s="824"/>
      <c r="LQ246" s="824"/>
      <c r="LR246" s="824"/>
      <c r="LS246" s="824"/>
      <c r="LT246" s="824"/>
      <c r="LU246" s="824"/>
      <c r="LV246" s="824"/>
      <c r="LW246" s="824"/>
      <c r="LX246" s="824"/>
      <c r="LY246" s="824"/>
      <c r="LZ246" s="824"/>
      <c r="MA246" s="824"/>
      <c r="MB246" s="824"/>
      <c r="MC246" s="824"/>
      <c r="MD246" s="824"/>
      <c r="ME246" s="824"/>
      <c r="MF246" s="824"/>
      <c r="MG246" s="824"/>
      <c r="MH246" s="824"/>
      <c r="MI246" s="824"/>
      <c r="MJ246" s="824"/>
      <c r="MK246" s="824"/>
      <c r="ML246" s="824"/>
      <c r="MM246" s="824"/>
      <c r="MN246" s="824"/>
      <c r="MO246" s="824"/>
      <c r="MP246" s="824"/>
      <c r="MQ246" s="824"/>
      <c r="MR246" s="824"/>
      <c r="MS246" s="824"/>
      <c r="MT246" s="824"/>
      <c r="MU246" s="824"/>
      <c r="MV246" s="824"/>
      <c r="MW246" s="824"/>
      <c r="MX246" s="824"/>
      <c r="MY246" s="824"/>
      <c r="MZ246" s="824"/>
      <c r="NA246" s="824"/>
      <c r="NB246" s="824"/>
      <c r="NC246" s="824"/>
      <c r="ND246" s="824"/>
      <c r="NE246" s="824"/>
      <c r="NF246" s="824"/>
      <c r="NG246" s="824"/>
      <c r="NH246" s="824"/>
      <c r="NI246" s="824"/>
      <c r="NJ246" s="824"/>
      <c r="NK246" s="824"/>
      <c r="NL246" s="824"/>
      <c r="NM246" s="824"/>
      <c r="NN246" s="824"/>
      <c r="NO246" s="824"/>
      <c r="NP246" s="824"/>
      <c r="NQ246" s="824"/>
      <c r="NR246" s="824"/>
      <c r="NS246" s="824"/>
      <c r="NT246" s="824"/>
      <c r="NU246" s="824"/>
      <c r="NV246" s="824"/>
      <c r="NW246" s="824"/>
      <c r="NX246" s="824"/>
      <c r="NY246" s="824"/>
      <c r="NZ246" s="824"/>
      <c r="OA246" s="824"/>
      <c r="OB246" s="824"/>
      <c r="OC246" s="824"/>
      <c r="OD246" s="824"/>
      <c r="OE246" s="824"/>
      <c r="OF246" s="824"/>
      <c r="OG246" s="824"/>
      <c r="OH246" s="824"/>
      <c r="OI246" s="824"/>
      <c r="OJ246" s="824"/>
      <c r="OK246" s="824"/>
      <c r="OL246" s="824"/>
      <c r="OM246" s="824"/>
      <c r="ON246" s="824"/>
      <c r="OO246" s="824"/>
      <c r="OP246" s="824"/>
      <c r="OQ246" s="824"/>
      <c r="OR246" s="824"/>
      <c r="OS246" s="824"/>
      <c r="OT246" s="824"/>
      <c r="OU246" s="824"/>
      <c r="OV246" s="824"/>
      <c r="OW246" s="824"/>
      <c r="OX246" s="824"/>
      <c r="OY246" s="824"/>
      <c r="OZ246" s="824"/>
      <c r="PA246" s="824"/>
      <c r="PB246" s="824"/>
      <c r="PC246" s="824"/>
      <c r="PD246" s="824"/>
      <c r="PE246" s="824"/>
      <c r="PF246" s="824"/>
      <c r="PG246" s="824"/>
      <c r="PH246" s="824"/>
      <c r="PI246" s="824"/>
      <c r="PJ246" s="824"/>
      <c r="PK246" s="824"/>
      <c r="PL246" s="824"/>
      <c r="PM246" s="824"/>
      <c r="PN246" s="824"/>
      <c r="PO246" s="824"/>
      <c r="PP246" s="824"/>
      <c r="PQ246" s="824"/>
      <c r="PR246" s="824"/>
      <c r="PS246" s="824"/>
      <c r="PT246" s="824"/>
      <c r="PU246" s="824"/>
      <c r="PV246" s="824"/>
      <c r="PW246" s="824"/>
      <c r="PX246" s="824"/>
      <c r="PY246" s="824"/>
      <c r="PZ246" s="824"/>
      <c r="QA246" s="824"/>
      <c r="QB246" s="824"/>
      <c r="QC246" s="824"/>
      <c r="QD246" s="824"/>
      <c r="QE246" s="824"/>
      <c r="QF246" s="824"/>
      <c r="QG246" s="824"/>
      <c r="QH246" s="824"/>
      <c r="QI246" s="824"/>
      <c r="QJ246" s="824"/>
      <c r="QK246" s="824"/>
      <c r="QL246" s="824"/>
      <c r="QM246" s="824"/>
      <c r="QN246" s="824"/>
      <c r="QO246" s="824"/>
      <c r="QP246" s="824"/>
      <c r="QQ246" s="824"/>
      <c r="QR246" s="824"/>
      <c r="QS246" s="824"/>
      <c r="QT246" s="824"/>
      <c r="QU246" s="824"/>
      <c r="QV246" s="824"/>
      <c r="QW246" s="824"/>
      <c r="QX246" s="824"/>
      <c r="QY246" s="824"/>
      <c r="QZ246" s="824"/>
      <c r="RA246" s="824"/>
      <c r="RB246" s="824"/>
      <c r="RC246" s="824"/>
      <c r="RD246" s="824"/>
      <c r="RE246" s="824"/>
      <c r="RF246" s="824"/>
      <c r="RG246" s="824"/>
      <c r="RH246" s="824"/>
      <c r="RI246" s="824"/>
      <c r="RJ246" s="824"/>
      <c r="RK246" s="824"/>
      <c r="RL246" s="824"/>
      <c r="RM246" s="824"/>
      <c r="RN246" s="824"/>
      <c r="RO246" s="824"/>
      <c r="RP246" s="824"/>
      <c r="RQ246" s="824"/>
      <c r="RR246" s="824"/>
      <c r="RS246" s="824"/>
      <c r="RT246" s="824"/>
      <c r="RU246" s="824"/>
      <c r="RV246" s="824"/>
      <c r="RW246" s="824"/>
      <c r="RX246" s="824"/>
      <c r="RY246" s="824"/>
      <c r="RZ246" s="824"/>
      <c r="SA246" s="824"/>
      <c r="SB246" s="824"/>
      <c r="SC246" s="824"/>
      <c r="SD246" s="824"/>
      <c r="SE246" s="824"/>
      <c r="SF246" s="824"/>
      <c r="SG246" s="824"/>
      <c r="SH246" s="824"/>
      <c r="SI246" s="824"/>
      <c r="SJ246" s="824"/>
      <c r="SK246" s="824"/>
      <c r="SL246" s="824"/>
      <c r="SM246" s="824"/>
      <c r="SN246" s="824"/>
      <c r="SO246" s="824"/>
      <c r="SP246" s="824"/>
      <c r="SQ246" s="824"/>
      <c r="SR246" s="824"/>
      <c r="SS246" s="824"/>
      <c r="ST246" s="824"/>
      <c r="SU246" s="824"/>
      <c r="SV246" s="824"/>
      <c r="SW246" s="824"/>
      <c r="SX246" s="824"/>
      <c r="SY246" s="824"/>
      <c r="SZ246" s="824"/>
      <c r="TA246" s="824"/>
      <c r="TB246" s="824"/>
      <c r="TC246" s="824"/>
      <c r="TD246" s="824"/>
      <c r="TE246" s="824"/>
      <c r="TF246" s="824"/>
      <c r="TG246" s="824"/>
      <c r="TH246" s="824"/>
      <c r="TI246" s="824"/>
      <c r="TJ246" s="824"/>
      <c r="TK246" s="824"/>
      <c r="TL246" s="824"/>
      <c r="TM246" s="824"/>
      <c r="TN246" s="824"/>
      <c r="TO246" s="824"/>
      <c r="TP246" s="824"/>
      <c r="TQ246" s="824"/>
      <c r="TR246" s="824"/>
      <c r="TS246" s="824"/>
      <c r="TT246" s="824"/>
      <c r="TU246" s="824"/>
      <c r="TV246" s="824"/>
      <c r="TW246" s="824"/>
      <c r="TX246" s="824"/>
      <c r="TY246" s="824"/>
      <c r="TZ246" s="824"/>
      <c r="UA246" s="824"/>
      <c r="UB246" s="824"/>
      <c r="UC246" s="824"/>
      <c r="UD246" s="824"/>
      <c r="UE246" s="824"/>
      <c r="UF246" s="824"/>
      <c r="UG246" s="824"/>
      <c r="UH246" s="824"/>
      <c r="UI246" s="824"/>
      <c r="UJ246" s="824"/>
      <c r="UK246" s="824"/>
      <c r="UL246" s="824"/>
      <c r="UM246" s="824"/>
      <c r="UN246" s="824"/>
      <c r="UO246" s="824"/>
      <c r="UP246" s="824"/>
      <c r="UQ246" s="824"/>
      <c r="UR246" s="824"/>
      <c r="US246" s="824"/>
      <c r="UT246" s="824"/>
      <c r="UU246" s="824"/>
      <c r="UV246" s="824"/>
      <c r="UW246" s="824"/>
      <c r="UX246" s="824"/>
      <c r="UY246" s="824"/>
      <c r="UZ246" s="824"/>
      <c r="VA246" s="824"/>
      <c r="VB246" s="824"/>
      <c r="VC246" s="824"/>
      <c r="VD246" s="824"/>
      <c r="VE246" s="824"/>
      <c r="VF246" s="824"/>
      <c r="VG246" s="824"/>
      <c r="VH246" s="824"/>
      <c r="VI246" s="824"/>
      <c r="VJ246" s="824"/>
      <c r="VK246" s="824"/>
      <c r="VL246" s="824"/>
      <c r="VM246" s="824"/>
      <c r="VN246" s="824"/>
      <c r="VO246" s="824"/>
      <c r="VP246" s="824"/>
      <c r="VQ246" s="824"/>
      <c r="VR246" s="824"/>
      <c r="VS246" s="824"/>
      <c r="VT246" s="824"/>
      <c r="VU246" s="824"/>
      <c r="VV246" s="824"/>
      <c r="VW246" s="824"/>
      <c r="VX246" s="824"/>
      <c r="VY246" s="824"/>
      <c r="VZ246" s="824"/>
      <c r="WA246" s="824"/>
      <c r="WB246" s="824"/>
      <c r="WC246" s="824"/>
      <c r="WD246" s="824"/>
      <c r="WE246" s="824"/>
      <c r="WF246" s="824"/>
      <c r="WG246" s="824"/>
      <c r="WH246" s="824"/>
      <c r="WI246" s="824"/>
      <c r="WJ246" s="824"/>
      <c r="WK246" s="824"/>
      <c r="WL246" s="824"/>
      <c r="WM246" s="824"/>
      <c r="WN246" s="824"/>
      <c r="WO246" s="824"/>
      <c r="WP246" s="824"/>
      <c r="WQ246" s="824"/>
      <c r="WR246" s="824"/>
      <c r="WS246" s="824"/>
      <c r="WT246" s="824"/>
      <c r="WU246" s="824"/>
      <c r="WV246" s="824"/>
      <c r="WW246" s="824"/>
      <c r="WX246" s="824"/>
      <c r="WY246" s="824"/>
      <c r="WZ246" s="824"/>
      <c r="XA246" s="824"/>
      <c r="XB246" s="824"/>
      <c r="XC246" s="824"/>
      <c r="XD246" s="824"/>
      <c r="XE246" s="824"/>
      <c r="XF246" s="824"/>
      <c r="XG246" s="824"/>
      <c r="XH246" s="824"/>
      <c r="XI246" s="824"/>
      <c r="XJ246" s="824"/>
      <c r="XK246" s="824"/>
      <c r="XL246" s="824"/>
      <c r="XM246" s="824"/>
      <c r="XN246" s="824"/>
      <c r="XO246" s="824"/>
      <c r="XP246" s="824"/>
      <c r="XQ246" s="824"/>
      <c r="XR246" s="824"/>
      <c r="XS246" s="824"/>
      <c r="XT246" s="824"/>
      <c r="XU246" s="824"/>
      <c r="XV246" s="824"/>
      <c r="XW246" s="824"/>
      <c r="XX246" s="824"/>
      <c r="XY246" s="824"/>
      <c r="XZ246" s="824"/>
      <c r="YA246" s="824"/>
      <c r="YB246" s="824"/>
      <c r="YC246" s="824"/>
      <c r="YD246" s="824"/>
      <c r="YE246" s="824"/>
      <c r="YF246" s="824"/>
      <c r="YG246" s="824"/>
      <c r="YH246" s="824"/>
      <c r="YI246" s="824"/>
      <c r="YJ246" s="824"/>
      <c r="YK246" s="824"/>
      <c r="YL246" s="824"/>
      <c r="YM246" s="824"/>
      <c r="YN246" s="824"/>
      <c r="YO246" s="824"/>
      <c r="YP246" s="824"/>
      <c r="YQ246" s="824"/>
      <c r="YR246" s="824"/>
      <c r="YS246" s="824"/>
      <c r="YT246" s="824"/>
      <c r="YU246" s="824"/>
      <c r="YV246" s="824"/>
      <c r="YW246" s="824"/>
      <c r="YX246" s="824"/>
      <c r="YY246" s="824"/>
      <c r="YZ246" s="824"/>
      <c r="ZA246" s="824"/>
      <c r="ZB246" s="824"/>
      <c r="ZC246" s="824"/>
      <c r="ZD246" s="824"/>
      <c r="ZE246" s="824"/>
      <c r="ZF246" s="824"/>
      <c r="ZG246" s="824"/>
      <c r="ZH246" s="824"/>
      <c r="ZI246" s="824"/>
      <c r="ZJ246" s="824"/>
      <c r="ZK246" s="824"/>
      <c r="ZL246" s="824"/>
      <c r="ZM246" s="824"/>
      <c r="ZN246" s="824"/>
      <c r="ZO246" s="824"/>
      <c r="ZP246" s="824"/>
      <c r="ZQ246" s="824"/>
      <c r="ZR246" s="824"/>
      <c r="ZS246" s="824"/>
      <c r="ZT246" s="824"/>
      <c r="ZU246" s="824"/>
      <c r="ZV246" s="824"/>
      <c r="ZW246" s="824"/>
      <c r="ZX246" s="824"/>
      <c r="ZY246" s="824"/>
      <c r="ZZ246" s="824"/>
      <c r="AAA246" s="824"/>
      <c r="AAB246" s="824"/>
      <c r="AAC246" s="824"/>
      <c r="AAD246" s="824"/>
      <c r="AAE246" s="824"/>
      <c r="AAF246" s="824"/>
      <c r="AAG246" s="824"/>
      <c r="AAH246" s="824"/>
      <c r="AAI246" s="824"/>
      <c r="AAJ246" s="824"/>
      <c r="AAK246" s="824"/>
      <c r="AAL246" s="824"/>
      <c r="AAM246" s="824"/>
      <c r="AAN246" s="824"/>
      <c r="AAO246" s="824"/>
      <c r="AAP246" s="824"/>
      <c r="AAQ246" s="824"/>
      <c r="AAR246" s="824"/>
      <c r="AAS246" s="824"/>
      <c r="AAT246" s="824"/>
      <c r="AAU246" s="824"/>
      <c r="AAV246" s="824"/>
      <c r="AAW246" s="824"/>
      <c r="AAX246" s="824"/>
      <c r="AAY246" s="824"/>
      <c r="AAZ246" s="824"/>
      <c r="ABA246" s="824"/>
      <c r="ABB246" s="824"/>
      <c r="ABC246" s="824"/>
      <c r="ABD246" s="824"/>
      <c r="ABE246" s="824"/>
      <c r="ABF246" s="824"/>
      <c r="ABG246" s="824"/>
      <c r="ABH246" s="824"/>
      <c r="ABI246" s="824"/>
      <c r="ABJ246" s="824"/>
      <c r="ABK246" s="824"/>
      <c r="ABL246" s="824"/>
      <c r="ABM246" s="824"/>
      <c r="ABN246" s="824"/>
      <c r="ABO246" s="824"/>
      <c r="ABP246" s="824"/>
      <c r="ABQ246" s="824"/>
      <c r="ABR246" s="824"/>
      <c r="ABS246" s="824"/>
      <c r="ABT246" s="824"/>
      <c r="ABU246" s="824"/>
      <c r="ABV246" s="824"/>
      <c r="ABW246" s="824"/>
      <c r="ABX246" s="824"/>
      <c r="ABY246" s="824"/>
      <c r="ABZ246" s="824"/>
      <c r="ACA246" s="824"/>
      <c r="ACB246" s="824"/>
      <c r="ACC246" s="824"/>
      <c r="ACD246" s="824"/>
      <c r="ACE246" s="824"/>
      <c r="ACF246" s="824"/>
      <c r="ACG246" s="824"/>
      <c r="ACH246" s="824"/>
      <c r="ACI246" s="824"/>
      <c r="ACJ246" s="824"/>
      <c r="ACK246" s="824"/>
      <c r="ACL246" s="824"/>
      <c r="ACM246" s="824"/>
      <c r="ACN246" s="824"/>
      <c r="ACO246" s="824"/>
      <c r="ACP246" s="824"/>
      <c r="ACQ246" s="824"/>
      <c r="ACR246" s="824"/>
      <c r="ACS246" s="824"/>
      <c r="ACT246" s="824"/>
      <c r="ACU246" s="824"/>
      <c r="ACV246" s="824"/>
      <c r="ACW246" s="824"/>
      <c r="ACX246" s="824"/>
      <c r="ACY246" s="824"/>
      <c r="ACZ246" s="824"/>
      <c r="ADA246" s="824"/>
      <c r="ADB246" s="824"/>
      <c r="ADC246" s="824"/>
      <c r="ADD246" s="824"/>
      <c r="ADE246" s="824"/>
      <c r="ADF246" s="824"/>
      <c r="ADG246" s="824"/>
      <c r="ADH246" s="824"/>
      <c r="ADI246" s="824"/>
      <c r="ADJ246" s="824"/>
      <c r="ADK246" s="824"/>
      <c r="ADL246" s="824"/>
      <c r="ADM246" s="824"/>
      <c r="ADN246" s="824"/>
      <c r="ADO246" s="824"/>
      <c r="ADP246" s="824"/>
      <c r="ADQ246" s="824"/>
      <c r="ADR246" s="824"/>
      <c r="ADS246" s="824"/>
      <c r="ADT246" s="824"/>
      <c r="ADU246" s="824"/>
      <c r="ADV246" s="824"/>
      <c r="ADW246" s="824"/>
      <c r="ADX246" s="824"/>
      <c r="ADY246" s="824"/>
      <c r="ADZ246" s="824"/>
      <c r="AEA246" s="824"/>
      <c r="AEB246" s="824"/>
      <c r="AEC246" s="824"/>
      <c r="AED246" s="824"/>
      <c r="AEE246" s="824"/>
      <c r="AEF246" s="824"/>
      <c r="AEG246" s="824"/>
      <c r="AEH246" s="824"/>
      <c r="AEI246" s="824"/>
      <c r="AEJ246" s="824"/>
      <c r="AEK246" s="824"/>
      <c r="AEL246" s="824"/>
      <c r="AEM246" s="824"/>
      <c r="AEN246" s="824"/>
      <c r="AEO246" s="824"/>
      <c r="AEP246" s="824"/>
      <c r="AEQ246" s="824"/>
      <c r="AER246" s="824"/>
      <c r="AES246" s="824"/>
      <c r="AET246" s="824"/>
      <c r="AEU246" s="824"/>
      <c r="AEV246" s="824"/>
      <c r="AEW246" s="824"/>
      <c r="AEX246" s="824"/>
      <c r="AEY246" s="824"/>
      <c r="AEZ246" s="824"/>
      <c r="AFA246" s="824"/>
      <c r="AFB246" s="824"/>
      <c r="AFC246" s="824"/>
      <c r="AFD246" s="824"/>
      <c r="AFE246" s="824"/>
      <c r="AFF246" s="824"/>
      <c r="AFG246" s="824"/>
      <c r="AFH246" s="824"/>
      <c r="AFI246" s="824"/>
      <c r="AFJ246" s="824"/>
      <c r="AFK246" s="824"/>
      <c r="AFL246" s="824"/>
      <c r="AFM246" s="824"/>
      <c r="AFN246" s="824"/>
      <c r="AFO246" s="824"/>
      <c r="AFP246" s="824"/>
      <c r="AFQ246" s="824"/>
      <c r="AFR246" s="824"/>
      <c r="AFS246" s="824"/>
      <c r="AFT246" s="824"/>
      <c r="AFU246" s="824"/>
      <c r="AFV246" s="824"/>
      <c r="AFW246" s="824"/>
      <c r="AFX246" s="824"/>
      <c r="AFY246" s="824"/>
      <c r="AFZ246" s="824"/>
      <c r="AGA246" s="824"/>
      <c r="AGB246" s="824"/>
      <c r="AGC246" s="824"/>
      <c r="AGD246" s="824"/>
      <c r="AGE246" s="824"/>
      <c r="AGF246" s="824"/>
      <c r="AGG246" s="824"/>
      <c r="AGH246" s="824"/>
      <c r="AGI246" s="824"/>
      <c r="AGJ246" s="824"/>
    </row>
    <row r="247" spans="1:868" hidden="1">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row>
    <row r="248" spans="1:868" hidden="1">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row>
    <row r="249" spans="1:868" hidden="1">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row>
    <row r="250" spans="1:868" hidden="1">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row>
    <row r="251" spans="1:868" hidden="1">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row>
    <row r="252" spans="1:868" hidden="1">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row>
    <row r="253" spans="1:868" hidden="1">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row>
    <row r="254" spans="1:868" hidden="1">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row>
    <row r="255" spans="1:868" hidden="1">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row>
    <row r="256" spans="1:868" hidden="1">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row>
    <row r="257" spans="1:16" hidden="1">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row>
    <row r="258" spans="1:16" hidden="1">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row>
    <row r="259" spans="1:16" hidden="1">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row>
    <row r="260" spans="1:16" hidden="1">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row>
    <row r="261" spans="1:16" hidden="1">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row>
    <row r="262" spans="1:16" hidden="1">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row>
    <row r="263" spans="1:16" hidden="1">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row>
    <row r="264" spans="1:16" hidden="1">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row>
    <row r="265" spans="1:16" hidden="1">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row>
    <row r="266" spans="1:16" hidden="1">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row>
    <row r="267" spans="1:16" hidden="1">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row>
    <row r="268" spans="1:16" hidden="1">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row>
    <row r="269" spans="1:16" hidden="1">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row>
    <row r="270" spans="1:16" hidden="1">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row>
    <row r="271" spans="1:16" hidden="1">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row>
    <row r="272" spans="1:16" hidden="1">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row>
    <row r="273" spans="1:32" hidden="1">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row>
    <row r="274" spans="1:32" hidden="1">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row>
    <row r="275" spans="1:32" hidden="1">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row>
    <row r="276" spans="1:32" s="16" customFormat="1" hidden="1">
      <c r="A276" s="335" t="s">
        <v>144</v>
      </c>
      <c r="B276" s="69" t="s">
        <v>248</v>
      </c>
      <c r="C276" s="848" t="s">
        <v>139</v>
      </c>
      <c r="D276" s="34" t="s">
        <v>139</v>
      </c>
      <c r="E276" s="849" t="s">
        <v>150</v>
      </c>
      <c r="F276" s="850">
        <v>1</v>
      </c>
      <c r="G276" s="848"/>
      <c r="H276" s="29"/>
      <c r="I276" s="9"/>
      <c r="J276" s="9"/>
      <c r="K276" s="9"/>
      <c r="L276" s="9"/>
      <c r="M276" s="9"/>
      <c r="N276" s="185" t="s">
        <v>249</v>
      </c>
      <c r="O276" s="159" t="s">
        <v>249</v>
      </c>
      <c r="P276" s="63" t="s">
        <v>250</v>
      </c>
      <c r="X276" s="826"/>
      <c r="Y276" s="826"/>
      <c r="AA276" s="826"/>
      <c r="AB276" s="826"/>
      <c r="AC276" s="827"/>
      <c r="AD276" s="827"/>
      <c r="AE276" s="826"/>
      <c r="AF276" s="827"/>
    </row>
    <row r="277" spans="1:32" s="16" customFormat="1" hidden="1">
      <c r="A277" s="335" t="s">
        <v>144</v>
      </c>
      <c r="B277" s="34" t="s">
        <v>251</v>
      </c>
      <c r="C277" s="40" t="s">
        <v>139</v>
      </c>
      <c r="D277" s="34" t="s">
        <v>139</v>
      </c>
      <c r="E277" s="848">
        <f>(1-0.004)*0.0001/100</f>
        <v>9.9600000000000008E-7</v>
      </c>
      <c r="F277" s="69">
        <v>2</v>
      </c>
      <c r="G277" s="848" t="s">
        <v>252</v>
      </c>
      <c r="H277" s="29">
        <v>2</v>
      </c>
      <c r="I277" s="9">
        <v>1</v>
      </c>
      <c r="J277" s="9">
        <v>2</v>
      </c>
      <c r="K277" s="9">
        <v>3</v>
      </c>
      <c r="L277" s="9">
        <v>3</v>
      </c>
      <c r="M277" s="9">
        <v>1</v>
      </c>
      <c r="N277" s="185">
        <v>0.60108474454521421</v>
      </c>
      <c r="O277" s="159">
        <v>0.60108474454521421</v>
      </c>
      <c r="P277" s="63"/>
    </row>
    <row r="278" spans="1:32" s="16" customFormat="1" hidden="1">
      <c r="A278" s="335" t="s">
        <v>144</v>
      </c>
      <c r="B278" s="34" t="s">
        <v>251</v>
      </c>
      <c r="C278" s="40" t="s">
        <v>139</v>
      </c>
      <c r="D278" s="34" t="s">
        <v>139</v>
      </c>
      <c r="E278" s="848">
        <f>(1-0.004)*0.04/100</f>
        <v>3.9839999999999998E-4</v>
      </c>
      <c r="F278" s="69">
        <v>2</v>
      </c>
      <c r="G278" s="848" t="s">
        <v>252</v>
      </c>
      <c r="H278" s="29">
        <v>2</v>
      </c>
      <c r="I278" s="9">
        <v>1</v>
      </c>
      <c r="J278" s="9">
        <v>2</v>
      </c>
      <c r="K278" s="9">
        <v>3</v>
      </c>
      <c r="L278" s="9">
        <v>3</v>
      </c>
      <c r="M278" s="9">
        <v>1</v>
      </c>
      <c r="N278" s="185">
        <v>0.60108474454521421</v>
      </c>
      <c r="O278" s="159">
        <v>0.60108474454521421</v>
      </c>
      <c r="P278" s="63"/>
    </row>
    <row r="279" spans="1:32" s="16" customFormat="1" hidden="1">
      <c r="A279" s="335" t="s">
        <v>144</v>
      </c>
      <c r="B279" s="69" t="s">
        <v>184</v>
      </c>
      <c r="C279" s="40" t="s">
        <v>139</v>
      </c>
      <c r="D279" s="34" t="s">
        <v>139</v>
      </c>
      <c r="E279" s="849">
        <v>0</v>
      </c>
      <c r="F279" s="850">
        <v>1</v>
      </c>
      <c r="G279" s="848" t="s">
        <v>253</v>
      </c>
      <c r="H279" s="29"/>
      <c r="I279" s="9"/>
      <c r="J279" s="9"/>
      <c r="K279" s="9"/>
      <c r="L279" s="9"/>
      <c r="M279" s="9"/>
      <c r="N279" s="185" t="s">
        <v>249</v>
      </c>
      <c r="O279" s="159" t="s">
        <v>249</v>
      </c>
      <c r="P279" s="63"/>
    </row>
    <row r="280" spans="1:32" s="16" customFormat="1" hidden="1">
      <c r="A280" s="335" t="s">
        <v>144</v>
      </c>
      <c r="B280" s="34" t="s">
        <v>254</v>
      </c>
      <c r="C280" s="40" t="s">
        <v>139</v>
      </c>
      <c r="D280" s="34" t="s">
        <v>139</v>
      </c>
      <c r="E280" s="848">
        <f>0.004*0.0001/100</f>
        <v>4.0000000000000002E-9</v>
      </c>
      <c r="F280" s="69">
        <v>2</v>
      </c>
      <c r="G280" s="848" t="s">
        <v>252</v>
      </c>
      <c r="H280" s="29">
        <v>2</v>
      </c>
      <c r="I280" s="9">
        <v>1</v>
      </c>
      <c r="J280" s="9">
        <v>2</v>
      </c>
      <c r="K280" s="9">
        <v>3</v>
      </c>
      <c r="L280" s="9">
        <v>3</v>
      </c>
      <c r="M280" s="9">
        <v>1</v>
      </c>
      <c r="N280" s="185">
        <v>0.60108474454521421</v>
      </c>
      <c r="O280" s="159">
        <v>0.60108474454521421</v>
      </c>
      <c r="P280" s="63"/>
    </row>
    <row r="281" spans="1:32" s="16" customFormat="1" hidden="1">
      <c r="A281" s="335" t="s">
        <v>144</v>
      </c>
      <c r="B281" s="34" t="s">
        <v>254</v>
      </c>
      <c r="C281" s="40" t="s">
        <v>139</v>
      </c>
      <c r="D281" s="34" t="s">
        <v>139</v>
      </c>
      <c r="E281" s="848">
        <f>0.004*0.04/100</f>
        <v>1.6000000000000001E-6</v>
      </c>
      <c r="F281" s="69">
        <v>2</v>
      </c>
      <c r="G281" s="848" t="s">
        <v>252</v>
      </c>
      <c r="H281" s="29">
        <v>2</v>
      </c>
      <c r="I281" s="9">
        <v>1</v>
      </c>
      <c r="J281" s="9">
        <v>2</v>
      </c>
      <c r="K281" s="9">
        <v>3</v>
      </c>
      <c r="L281" s="9">
        <v>3</v>
      </c>
      <c r="M281" s="9">
        <v>1</v>
      </c>
      <c r="N281" s="185">
        <v>0.60108474454521421</v>
      </c>
      <c r="O281" s="159">
        <v>0.60108474454521421</v>
      </c>
      <c r="P281" s="63"/>
    </row>
    <row r="282" spans="1:32" s="16" customFormat="1" hidden="1">
      <c r="A282" s="335" t="s">
        <v>144</v>
      </c>
      <c r="B282" s="69" t="s">
        <v>179</v>
      </c>
      <c r="C282" s="40" t="s">
        <v>139</v>
      </c>
      <c r="D282" s="34" t="s">
        <v>139</v>
      </c>
      <c r="E282" s="849">
        <v>0.1</v>
      </c>
      <c r="F282" s="850">
        <v>1</v>
      </c>
      <c r="G282" s="848" t="s">
        <v>255</v>
      </c>
      <c r="H282" s="29">
        <v>2</v>
      </c>
      <c r="I282" s="9">
        <v>2</v>
      </c>
      <c r="J282" s="9">
        <v>2</v>
      </c>
      <c r="K282" s="9">
        <v>3</v>
      </c>
      <c r="L282" s="9">
        <v>1</v>
      </c>
      <c r="M282" s="9">
        <v>1</v>
      </c>
      <c r="N282" s="185">
        <v>0.38795788889711302</v>
      </c>
      <c r="O282" s="159">
        <v>0.38795788889711302</v>
      </c>
      <c r="P282" s="63"/>
    </row>
    <row r="283" spans="1:32" hidden="1">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row>
    <row r="284" spans="1:32" hidden="1">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row>
    <row r="285" spans="1:32" hidden="1">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row>
    <row r="286" spans="1:32" hidden="1">
      <c r="A286" s="151" t="s">
        <v>114</v>
      </c>
      <c r="B286" s="34" t="s">
        <v>256</v>
      </c>
      <c r="C286" s="40" t="s">
        <v>139</v>
      </c>
      <c r="D286" s="34" t="s">
        <v>139</v>
      </c>
      <c r="E286" s="257">
        <v>1</v>
      </c>
      <c r="F286" s="34">
        <v>1</v>
      </c>
      <c r="G286" s="40"/>
      <c r="H286" s="29">
        <v>1</v>
      </c>
      <c r="I286" s="9">
        <v>1</v>
      </c>
      <c r="J286" s="9">
        <v>1</v>
      </c>
      <c r="K286" s="9">
        <v>1</v>
      </c>
      <c r="L286" s="9">
        <v>2</v>
      </c>
      <c r="M286" s="9">
        <v>2</v>
      </c>
      <c r="N286" s="185">
        <f t="shared" si="20"/>
        <v>0.35859414261160716</v>
      </c>
      <c r="O286" s="159">
        <f t="shared" si="21"/>
        <v>0.35859414261160716</v>
      </c>
      <c r="P286" s="63"/>
    </row>
    <row r="287" spans="1:32" hidden="1">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row>
    <row r="288" spans="1:32" hidden="1">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row>
    <row r="289" spans="1:16" hidden="1">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row>
    <row r="290" spans="1:16" hidden="1">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row>
    <row r="291" spans="1:16" hidden="1">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row>
    <row r="292" spans="1:16" hidden="1">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row>
    <row r="293" spans="1:16" hidden="1">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row>
    <row r="294" spans="1:16" hidden="1">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row>
    <row r="295" spans="1:16" hidden="1">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row>
    <row r="296" spans="1:16" hidden="1">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row>
    <row r="297" spans="1:16" hidden="1">
      <c r="A297" s="151" t="s">
        <v>256</v>
      </c>
      <c r="B297" s="34" t="s">
        <v>267</v>
      </c>
      <c r="C297" s="40" t="s">
        <v>180</v>
      </c>
      <c r="D297" s="69" t="s">
        <v>85</v>
      </c>
      <c r="E297" s="848">
        <v>0.89414414414414412</v>
      </c>
      <c r="F297" s="34">
        <v>1</v>
      </c>
      <c r="G297" s="339" t="s">
        <v>110</v>
      </c>
      <c r="H297" s="29">
        <v>1</v>
      </c>
      <c r="I297" s="9"/>
      <c r="J297" s="9">
        <v>1</v>
      </c>
      <c r="K297" s="9">
        <v>1</v>
      </c>
      <c r="L297" s="9">
        <v>2</v>
      </c>
      <c r="M297" s="9">
        <v>2</v>
      </c>
      <c r="N297" s="185">
        <f t="shared" si="20"/>
        <v>0.35859414261160716</v>
      </c>
      <c r="O297" s="159" t="str">
        <f t="shared" si="21"/>
        <v/>
      </c>
      <c r="P297" s="63"/>
    </row>
    <row r="298" spans="1:16" hidden="1">
      <c r="A298" s="151" t="s">
        <v>256</v>
      </c>
      <c r="B298" s="34" t="s">
        <v>267</v>
      </c>
      <c r="C298" s="40" t="s">
        <v>180</v>
      </c>
      <c r="D298" s="69" t="s">
        <v>86</v>
      </c>
      <c r="E298" s="848">
        <v>0.84514925373134331</v>
      </c>
      <c r="F298" s="34">
        <v>1</v>
      </c>
      <c r="G298" s="339" t="s">
        <v>110</v>
      </c>
      <c r="H298" s="29">
        <v>1</v>
      </c>
      <c r="I298" s="9"/>
      <c r="J298" s="9">
        <v>1</v>
      </c>
      <c r="K298" s="9">
        <v>1</v>
      </c>
      <c r="L298" s="9">
        <v>2</v>
      </c>
      <c r="M298" s="9">
        <v>2</v>
      </c>
      <c r="N298" s="185">
        <f t="shared" si="20"/>
        <v>0.35859414261160716</v>
      </c>
      <c r="O298" s="159" t="str">
        <f t="shared" si="21"/>
        <v/>
      </c>
      <c r="P298" s="63"/>
    </row>
    <row r="299" spans="1:16" hidden="1">
      <c r="A299" s="151" t="s">
        <v>256</v>
      </c>
      <c r="B299" s="34" t="s">
        <v>267</v>
      </c>
      <c r="C299" s="40" t="s">
        <v>180</v>
      </c>
      <c r="D299" s="69" t="s">
        <v>87</v>
      </c>
      <c r="E299" s="848">
        <v>0.2164781906300485</v>
      </c>
      <c r="F299" s="34">
        <v>1</v>
      </c>
      <c r="G299" s="339" t="s">
        <v>110</v>
      </c>
      <c r="H299" s="29">
        <v>1</v>
      </c>
      <c r="I299" s="9"/>
      <c r="J299" s="9">
        <v>1</v>
      </c>
      <c r="K299" s="9">
        <v>1</v>
      </c>
      <c r="L299" s="9">
        <v>2</v>
      </c>
      <c r="M299" s="9">
        <v>2</v>
      </c>
      <c r="N299" s="185">
        <f t="shared" si="20"/>
        <v>0.35859414261160716</v>
      </c>
      <c r="O299" s="159" t="str">
        <f t="shared" si="21"/>
        <v/>
      </c>
      <c r="P299" s="63"/>
    </row>
    <row r="300" spans="1:16" hidden="1">
      <c r="A300" s="151" t="s">
        <v>256</v>
      </c>
      <c r="B300" s="34" t="s">
        <v>267</v>
      </c>
      <c r="C300" s="40" t="s">
        <v>180</v>
      </c>
      <c r="D300" s="69" t="s">
        <v>88</v>
      </c>
      <c r="E300" s="848">
        <v>0.14782608695652169</v>
      </c>
      <c r="F300" s="34">
        <v>1</v>
      </c>
      <c r="G300" s="339" t="s">
        <v>110</v>
      </c>
      <c r="H300" s="29">
        <v>1</v>
      </c>
      <c r="I300" s="9"/>
      <c r="J300" s="9">
        <v>1</v>
      </c>
      <c r="K300" s="9">
        <v>1</v>
      </c>
      <c r="L300" s="9">
        <v>2</v>
      </c>
      <c r="M300" s="9">
        <v>2</v>
      </c>
      <c r="N300" s="185">
        <f t="shared" si="20"/>
        <v>0.35859414261160716</v>
      </c>
      <c r="O300" s="159" t="str">
        <f t="shared" si="21"/>
        <v/>
      </c>
      <c r="P300" s="63"/>
    </row>
    <row r="301" spans="1:16" hidden="1">
      <c r="A301" s="151" t="s">
        <v>256</v>
      </c>
      <c r="B301" s="34" t="s">
        <v>267</v>
      </c>
      <c r="C301" s="40" t="s">
        <v>180</v>
      </c>
      <c r="D301" s="69" t="s">
        <v>89</v>
      </c>
      <c r="E301" s="848">
        <v>0.66574585635359118</v>
      </c>
      <c r="F301" s="34">
        <v>1</v>
      </c>
      <c r="G301" s="339" t="s">
        <v>110</v>
      </c>
      <c r="H301" s="29">
        <v>1</v>
      </c>
      <c r="I301" s="9"/>
      <c r="J301" s="9">
        <v>1</v>
      </c>
      <c r="K301" s="9">
        <v>1</v>
      </c>
      <c r="L301" s="9">
        <v>2</v>
      </c>
      <c r="M301" s="9">
        <v>2</v>
      </c>
      <c r="N301" s="185">
        <f t="shared" si="20"/>
        <v>0.35859414261160716</v>
      </c>
      <c r="O301" s="159" t="str">
        <f t="shared" si="21"/>
        <v/>
      </c>
      <c r="P301" s="63"/>
    </row>
    <row r="302" spans="1:16" hidden="1">
      <c r="A302" s="151" t="s">
        <v>256</v>
      </c>
      <c r="B302" s="34" t="s">
        <v>267</v>
      </c>
      <c r="C302" s="40" t="s">
        <v>180</v>
      </c>
      <c r="D302" s="69" t="s">
        <v>90</v>
      </c>
      <c r="E302" s="848">
        <v>0.85006045949214026</v>
      </c>
      <c r="F302" s="34">
        <v>1</v>
      </c>
      <c r="G302" s="339" t="s">
        <v>110</v>
      </c>
      <c r="H302" s="29">
        <v>1</v>
      </c>
      <c r="I302" s="9"/>
      <c r="J302" s="9">
        <v>1</v>
      </c>
      <c r="K302" s="9">
        <v>1</v>
      </c>
      <c r="L302" s="9">
        <v>2</v>
      </c>
      <c r="M302" s="9">
        <v>2</v>
      </c>
      <c r="N302" s="185">
        <f t="shared" si="20"/>
        <v>0.35859414261160716</v>
      </c>
      <c r="O302" s="159" t="str">
        <f t="shared" si="21"/>
        <v/>
      </c>
      <c r="P302" s="63"/>
    </row>
    <row r="303" spans="1:16" hidden="1">
      <c r="A303" s="151" t="s">
        <v>256</v>
      </c>
      <c r="B303" s="34" t="s">
        <v>267</v>
      </c>
      <c r="C303" s="40" t="s">
        <v>180</v>
      </c>
      <c r="D303" s="69" t="s">
        <v>91</v>
      </c>
      <c r="E303" s="848">
        <v>1</v>
      </c>
      <c r="F303" s="34">
        <v>1</v>
      </c>
      <c r="G303" s="339" t="s">
        <v>110</v>
      </c>
      <c r="H303" s="29">
        <v>1</v>
      </c>
      <c r="I303" s="9"/>
      <c r="J303" s="9">
        <v>1</v>
      </c>
      <c r="K303" s="9">
        <v>1</v>
      </c>
      <c r="L303" s="9">
        <v>2</v>
      </c>
      <c r="M303" s="9">
        <v>2</v>
      </c>
      <c r="N303" s="185">
        <f t="shared" si="20"/>
        <v>0.35859414261160716</v>
      </c>
      <c r="O303" s="159" t="str">
        <f t="shared" si="21"/>
        <v/>
      </c>
      <c r="P303" s="63"/>
    </row>
    <row r="304" spans="1:16" hidden="1">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row>
    <row r="305" spans="1:16" hidden="1">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row>
    <row r="306" spans="1:16" hidden="1">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row>
    <row r="307" spans="1:16" hidden="1">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row>
    <row r="308" spans="1:16" hidden="1">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row>
    <row r="309" spans="1:16" hidden="1">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row>
    <row r="310" spans="1:16" hidden="1">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row>
    <row r="311" spans="1:16" hidden="1">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row>
    <row r="312" spans="1:16" hidden="1">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row>
    <row r="313" spans="1:16" hidden="1">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row>
    <row r="314" spans="1:16" hidden="1">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row>
    <row r="315" spans="1:16" hidden="1">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row>
    <row r="316" spans="1:16" hidden="1">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row>
    <row r="317" spans="1:16" hidden="1">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row>
    <row r="318" spans="1:16" hidden="1">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row>
    <row r="319" spans="1:16" hidden="1">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row>
    <row r="320" spans="1:16" hidden="1">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row>
    <row r="321" spans="1:16" hidden="1">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row>
    <row r="322" spans="1:16" hidden="1">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row>
    <row r="323" spans="1:16" hidden="1">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row>
    <row r="324" spans="1:16" hidden="1">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row>
    <row r="325" spans="1:16" hidden="1">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row>
    <row r="326" spans="1:16" hidden="1">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row>
    <row r="327" spans="1:16" hidden="1">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row>
    <row r="328" spans="1:16" hidden="1">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row>
    <row r="329" spans="1:16" hidden="1">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row>
    <row r="330" spans="1:16" hidden="1">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row>
    <row r="331" spans="1:16" hidden="1">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row>
    <row r="332" spans="1:16" hidden="1">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row>
    <row r="333" spans="1:16" hidden="1">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row>
    <row r="334" spans="1:16" hidden="1">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row>
    <row r="335" spans="1:16" hidden="1">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row>
    <row r="336" spans="1:16" hidden="1">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row>
    <row r="337" spans="1:16" hidden="1">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row>
    <row r="338" spans="1:16" hidden="1">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row>
    <row r="339" spans="1:16" hidden="1">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row>
    <row r="340" spans="1:16" hidden="1">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row>
    <row r="341" spans="1:16" hidden="1">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row>
    <row r="342" spans="1:16" hidden="1">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row>
    <row r="343" spans="1:16" hidden="1">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row>
    <row r="344" spans="1:16" hidden="1">
      <c r="A344" s="151" t="s">
        <v>269</v>
      </c>
      <c r="B344" s="34" t="s">
        <v>270</v>
      </c>
      <c r="C344" s="40" t="s">
        <v>180</v>
      </c>
      <c r="D344" s="34" t="s">
        <v>139</v>
      </c>
      <c r="E344" s="851"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row>
    <row r="345" spans="1:16" hidden="1">
      <c r="A345" s="151" t="s">
        <v>269</v>
      </c>
      <c r="B345" s="34" t="s">
        <v>270</v>
      </c>
      <c r="C345" s="40" t="s">
        <v>182</v>
      </c>
      <c r="D345" s="34" t="s">
        <v>139</v>
      </c>
      <c r="E345" s="851" t="s">
        <v>150</v>
      </c>
      <c r="F345" s="34">
        <v>1</v>
      </c>
      <c r="G345" s="40"/>
      <c r="H345" s="29"/>
      <c r="I345" s="9"/>
      <c r="J345" s="9"/>
      <c r="K345" s="9"/>
      <c r="L345" s="9"/>
      <c r="M345" s="9"/>
      <c r="N345" s="185" t="str">
        <f t="shared" si="24"/>
        <v/>
      </c>
      <c r="O345" s="159" t="str">
        <f t="shared" si="23"/>
        <v/>
      </c>
      <c r="P345" s="838"/>
    </row>
    <row r="346" spans="1:16" hidden="1">
      <c r="A346" s="151" t="s">
        <v>269</v>
      </c>
      <c r="B346" s="34" t="s">
        <v>271</v>
      </c>
      <c r="C346" s="40" t="s">
        <v>180</v>
      </c>
      <c r="D346" s="34" t="s">
        <v>139</v>
      </c>
      <c r="E346" s="851">
        <v>0.9</v>
      </c>
      <c r="F346" s="34">
        <v>2</v>
      </c>
      <c r="G346" s="40"/>
      <c r="H346" s="29">
        <v>1</v>
      </c>
      <c r="I346" s="9"/>
      <c r="J346" s="9">
        <v>1</v>
      </c>
      <c r="K346" s="9">
        <v>1</v>
      </c>
      <c r="L346" s="9">
        <v>1</v>
      </c>
      <c r="M346" s="9">
        <v>1</v>
      </c>
      <c r="N346" s="185">
        <f t="shared" si="24"/>
        <v>0.13309242924026707</v>
      </c>
      <c r="O346" s="159" t="str">
        <f t="shared" si="23"/>
        <v/>
      </c>
      <c r="P346" s="63" t="s">
        <v>272</v>
      </c>
    </row>
    <row r="347" spans="1:16" hidden="1">
      <c r="A347" s="151" t="s">
        <v>269</v>
      </c>
      <c r="B347" s="34" t="s">
        <v>271</v>
      </c>
      <c r="C347" s="40" t="s">
        <v>182</v>
      </c>
      <c r="D347" s="34" t="s">
        <v>139</v>
      </c>
      <c r="E347" s="851">
        <v>0.05</v>
      </c>
      <c r="F347" s="34">
        <v>2</v>
      </c>
      <c r="G347" s="40" t="s">
        <v>273</v>
      </c>
      <c r="H347" s="29"/>
      <c r="I347" s="9">
        <v>1</v>
      </c>
      <c r="J347" s="9">
        <v>1</v>
      </c>
      <c r="K347" s="9">
        <v>2</v>
      </c>
      <c r="L347" s="9">
        <v>1</v>
      </c>
      <c r="M347" s="9">
        <v>4</v>
      </c>
      <c r="N347" s="185" t="str">
        <f t="shared" si="24"/>
        <v/>
      </c>
      <c r="O347" s="159">
        <f t="shared" si="23"/>
        <v>3.0564664491960198</v>
      </c>
      <c r="P347" s="63" t="s">
        <v>274</v>
      </c>
    </row>
    <row r="348" spans="1:16" hidden="1">
      <c r="A348" s="151" t="s">
        <v>270</v>
      </c>
      <c r="B348" s="34" t="s">
        <v>275</v>
      </c>
      <c r="C348" s="40" t="s">
        <v>139</v>
      </c>
      <c r="D348" s="34" t="s">
        <v>139</v>
      </c>
      <c r="E348" s="851" t="s">
        <v>150</v>
      </c>
      <c r="F348" s="34">
        <v>1</v>
      </c>
      <c r="G348" s="40"/>
      <c r="H348" s="29"/>
      <c r="I348" s="9"/>
      <c r="J348" s="9"/>
      <c r="K348" s="9"/>
      <c r="L348" s="9"/>
      <c r="M348" s="9"/>
      <c r="N348" s="185"/>
      <c r="O348" s="159"/>
      <c r="P348" s="63"/>
    </row>
    <row r="349" spans="1:16" hidden="1">
      <c r="A349" s="151" t="s">
        <v>270</v>
      </c>
      <c r="B349" s="34" t="s">
        <v>231</v>
      </c>
      <c r="C349" s="40" t="s">
        <v>139</v>
      </c>
      <c r="D349" s="34" t="s">
        <v>139</v>
      </c>
      <c r="E349" s="851">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8"/>
    </row>
    <row r="350" spans="1:16" hidden="1">
      <c r="A350" s="151" t="s">
        <v>270</v>
      </c>
      <c r="B350" s="34" t="s">
        <v>231</v>
      </c>
      <c r="C350" s="40" t="s">
        <v>139</v>
      </c>
      <c r="D350" s="34" t="s">
        <v>139</v>
      </c>
      <c r="E350" s="851">
        <v>0.1</v>
      </c>
      <c r="F350" s="34">
        <v>2</v>
      </c>
      <c r="G350" s="852" t="s">
        <v>277</v>
      </c>
      <c r="H350" s="29">
        <v>1</v>
      </c>
      <c r="I350" s="9">
        <v>2</v>
      </c>
      <c r="J350" s="9">
        <v>2</v>
      </c>
      <c r="K350" s="9">
        <v>1</v>
      </c>
      <c r="L350" s="9">
        <v>2</v>
      </c>
      <c r="M350" s="9">
        <v>3</v>
      </c>
      <c r="N350" s="185">
        <f t="shared" si="25"/>
        <v>1.0248662490928169</v>
      </c>
      <c r="O350" s="159">
        <f t="shared" si="26"/>
        <v>1.0301997916669636</v>
      </c>
      <c r="P350" s="838"/>
    </row>
    <row r="351" spans="1:16" hidden="1">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row>
    <row r="352" spans="1:16" hidden="1">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row>
    <row r="353" spans="1:16" hidden="1">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row>
    <row r="354" spans="1:16" hidden="1">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row>
    <row r="355" spans="1:16" hidden="1">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row>
    <row r="356" spans="1:16" hidden="1">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row>
    <row r="357" spans="1:16" hidden="1">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row>
    <row r="358" spans="1:16" hidden="1">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row>
    <row r="359" spans="1:16" hidden="1">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row>
    <row r="360" spans="1:16" hidden="1">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row>
    <row r="361" spans="1:16" hidden="1">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row>
    <row r="362" spans="1:16" hidden="1">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row>
    <row r="363" spans="1:16" hidden="1">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row>
    <row r="364" spans="1:16" hidden="1">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row>
    <row r="365" spans="1:16" hidden="1">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row>
    <row r="366" spans="1:16" hidden="1">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row>
    <row r="367" spans="1:16" hidden="1">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row>
    <row r="368" spans="1:16" hidden="1">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row>
    <row r="369" spans="1:16" hidden="1">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row>
    <row r="370" spans="1:16" hidden="1">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row>
    <row r="371" spans="1:16" hidden="1">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row>
    <row r="372" spans="1:16" hidden="1">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row>
    <row r="373" spans="1:16" hidden="1">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row>
    <row r="374" spans="1:16" hidden="1">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row>
    <row r="375" spans="1:16" hidden="1">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row>
    <row r="376" spans="1:16" hidden="1">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row>
    <row r="377" spans="1:16" hidden="1">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row>
    <row r="378" spans="1:16" hidden="1">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row>
    <row r="379" spans="1:16" hidden="1">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row>
    <row r="380" spans="1:16" hidden="1">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row>
    <row r="381" spans="1:16" hidden="1">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row>
    <row r="382" spans="1:16" hidden="1">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row>
    <row r="383" spans="1:16" hidden="1">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row>
    <row r="384" spans="1:16" hidden="1">
      <c r="A384" s="151" t="s">
        <v>143</v>
      </c>
      <c r="B384" s="34" t="s">
        <v>184</v>
      </c>
      <c r="C384" s="40" t="s">
        <v>139</v>
      </c>
      <c r="D384" s="34" t="s">
        <v>139</v>
      </c>
      <c r="E384" s="262">
        <v>0</v>
      </c>
      <c r="F384" s="232">
        <v>1</v>
      </c>
      <c r="G384" s="40">
        <v>0</v>
      </c>
      <c r="H384" s="29"/>
      <c r="I384" s="9"/>
      <c r="J384" s="9"/>
      <c r="K384" s="9"/>
      <c r="L384" s="9"/>
      <c r="M384" s="9"/>
      <c r="N384" s="185" t="s">
        <v>249</v>
      </c>
      <c r="O384" s="159" t="s">
        <v>249</v>
      </c>
      <c r="P384" s="63"/>
    </row>
    <row r="385" spans="1:16" hidden="1">
      <c r="A385" s="151" t="s">
        <v>284</v>
      </c>
      <c r="B385" s="34" t="s">
        <v>179</v>
      </c>
      <c r="C385" s="40" t="s">
        <v>180</v>
      </c>
      <c r="D385" s="34" t="s">
        <v>139</v>
      </c>
      <c r="E385" s="257">
        <v>1</v>
      </c>
      <c r="F385" s="232">
        <v>2</v>
      </c>
      <c r="G385" s="40" t="s">
        <v>285</v>
      </c>
      <c r="H385" s="828"/>
      <c r="I385" s="829"/>
      <c r="J385" s="829"/>
      <c r="K385" s="829"/>
      <c r="L385" s="829"/>
      <c r="M385" s="829"/>
      <c r="N385" s="185" t="str">
        <f t="shared" ref="N385:N386" si="29">IF( OR( ISBLANK(H385),ISBLANK(J385), ISBLANK(K385), ISBLANK(L385), ISBLANK(M385) ), "", 1.5*SQRT(   EXP(2.21*(H385-1)) + EXP(2.21*(J385-1)) + EXP(2.21*(K385-1)) + EXP(2.21*(L385-1)) + EXP(2.21*M385)   )/100*2.45 )</f>
        <v/>
      </c>
      <c r="O385" s="159" t="str">
        <f t="shared" ref="O385:O386" si="30">IF( OR( ISBLANK(I385),ISBLANK(J385), ISBLANK(K385), ISBLANK(L385), ISBLANK(M385) ), "", 1.5*SQRT( EXP(2.21*(I385-1)) + EXP(2.21*(J385-1)) + EXP(2.21*(K385-1)) + EXP(2.21*(L385-1)) + EXP(2.21*M385)   )/100*2.45 )</f>
        <v/>
      </c>
      <c r="P385" s="839"/>
    </row>
    <row r="386" spans="1:16" hidden="1">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row>
    <row r="387" spans="1:16" hidden="1">
      <c r="A387" s="151" t="s">
        <v>209</v>
      </c>
      <c r="B387" s="34" t="s">
        <v>179</v>
      </c>
      <c r="C387" s="40" t="s">
        <v>139</v>
      </c>
      <c r="D387" s="34" t="s">
        <v>139</v>
      </c>
      <c r="E387" s="257">
        <v>0.8</v>
      </c>
      <c r="F387" s="232">
        <v>2</v>
      </c>
      <c r="G387" s="40" t="s">
        <v>157</v>
      </c>
      <c r="H387" s="29">
        <v>3</v>
      </c>
      <c r="I387" s="9"/>
      <c r="J387" s="9">
        <v>3</v>
      </c>
      <c r="K387" s="9">
        <v>3</v>
      </c>
      <c r="L387" s="9">
        <v>3</v>
      </c>
      <c r="M387" s="9">
        <v>3</v>
      </c>
      <c r="N387" s="185">
        <f t="shared" ref="N387:N388" si="31">IF( OR( ISBLANK(H387),ISBLANK(J387), ISBLANK(K387), ISBLANK(L387), ISBLANK(M387) ), "", 1.5*SQRT(   EXP(2.21*(H387-1)) + EXP(2.21*(J387-1)) + EXP(2.21*(K387-1)) + EXP(2.21*(L387-1)) + EXP(2.21*M387)   )/100*2.45 )</f>
        <v>1.2132328390150593</v>
      </c>
      <c r="O387" s="159" t="str">
        <f t="shared" ref="O387:O388" si="32">IF( OR( ISBLANK(I387),ISBLANK(J387), ISBLANK(K387), ISBLANK(L387), ISBLANK(M387) ), "", 1.5*SQRT( EXP(2.21*(I387-1)) + EXP(2.21*(J387-1)) + EXP(2.21*(K387-1)) + EXP(2.21*(L387-1)) + EXP(2.21*M387)   )/100*2.45 )</f>
        <v/>
      </c>
      <c r="P387" s="63" t="s">
        <v>298</v>
      </c>
    </row>
    <row r="388" spans="1:16" hidden="1">
      <c r="A388" s="151" t="s">
        <v>215</v>
      </c>
      <c r="B388" s="34" t="s">
        <v>179</v>
      </c>
      <c r="C388" s="40" t="s">
        <v>139</v>
      </c>
      <c r="D388" s="34" t="s">
        <v>139</v>
      </c>
      <c r="E388" s="257">
        <v>0</v>
      </c>
      <c r="F388" s="232">
        <v>2</v>
      </c>
      <c r="G388" s="40"/>
      <c r="H388" s="29"/>
      <c r="I388" s="9"/>
      <c r="J388" s="9"/>
      <c r="K388" s="9"/>
      <c r="L388" s="9"/>
      <c r="M388" s="9"/>
      <c r="N388" s="185" t="str">
        <f t="shared" si="31"/>
        <v/>
      </c>
      <c r="O388" s="159" t="str">
        <f t="shared" si="32"/>
        <v/>
      </c>
      <c r="P388" s="63" t="s">
        <v>299</v>
      </c>
    </row>
    <row r="389" spans="1:16" hidden="1">
      <c r="A389" s="151" t="s">
        <v>143</v>
      </c>
      <c r="B389" s="34" t="s">
        <v>251</v>
      </c>
      <c r="C389" s="40" t="s">
        <v>139</v>
      </c>
      <c r="D389" s="34" t="s">
        <v>139</v>
      </c>
      <c r="E389" s="262">
        <v>1E-4</v>
      </c>
      <c r="F389" s="232">
        <v>2</v>
      </c>
      <c r="G389" s="40" t="s">
        <v>157</v>
      </c>
      <c r="H389" s="29">
        <v>1</v>
      </c>
      <c r="I389" s="9">
        <v>2</v>
      </c>
      <c r="J389" s="9">
        <v>1</v>
      </c>
      <c r="K389" s="9">
        <v>1</v>
      </c>
      <c r="L389" s="9">
        <v>1</v>
      </c>
      <c r="M389" s="9">
        <v>3</v>
      </c>
      <c r="N389" s="185">
        <v>1.0141150152164344</v>
      </c>
      <c r="O389" s="159">
        <v>1.0195048044558224</v>
      </c>
      <c r="P389" s="63"/>
    </row>
    <row r="390" spans="1:16" hidden="1">
      <c r="A390" s="151" t="s">
        <v>270</v>
      </c>
      <c r="B390" s="34" t="s">
        <v>300</v>
      </c>
      <c r="C390" s="40" t="s">
        <v>139</v>
      </c>
      <c r="D390" s="34" t="s">
        <v>139</v>
      </c>
      <c r="E390" s="851">
        <v>0.01</v>
      </c>
      <c r="F390" s="34">
        <v>2</v>
      </c>
      <c r="G390" s="40" t="s">
        <v>301</v>
      </c>
      <c r="H390" s="29">
        <v>2</v>
      </c>
      <c r="I390" s="9">
        <v>2</v>
      </c>
      <c r="J390" s="9">
        <v>2</v>
      </c>
      <c r="K390" s="9">
        <v>2</v>
      </c>
      <c r="L390" s="9">
        <v>1</v>
      </c>
      <c r="M390" s="9">
        <v>1</v>
      </c>
      <c r="N390" s="185">
        <f t="shared" ref="N390:N421" si="33">IF( OR( ISBLANK(H390),ISBLANK(J390), ISBLANK(K390), ISBLANK(L390), ISBLANK(M390) ), "", 1.5*SQRT(   EXP(2.21*(H390-1)) + EXP(2.21*(J390-1)) + EXP(2.21*(K390-1)) + EXP(2.21*(L390-1)) + EXP(2.21*M390)   )/100*2.45 )</f>
        <v>0.2249354160293616</v>
      </c>
      <c r="O390" s="159">
        <f t="shared" ref="O390:O421" si="34">IF( OR( ISBLANK(I390),ISBLANK(J390), ISBLANK(K390), ISBLANK(L390), ISBLANK(M390) ), "", 1.5*SQRT( EXP(2.21*(I390-1)) + EXP(2.21*(J390-1)) + EXP(2.21*(K390-1)) + EXP(2.21*(L390-1)) + EXP(2.21*M390)   )/100*2.45 )</f>
        <v>0.2249354160293616</v>
      </c>
      <c r="P390" s="838"/>
    </row>
    <row r="391" spans="1:16" hidden="1">
      <c r="A391" s="151" t="s">
        <v>283</v>
      </c>
      <c r="B391" s="34" t="s">
        <v>179</v>
      </c>
      <c r="C391" s="40" t="s">
        <v>139</v>
      </c>
      <c r="D391" s="34" t="s">
        <v>85</v>
      </c>
      <c r="E391" s="257">
        <v>7.5999999999999998E-2</v>
      </c>
      <c r="F391" s="232">
        <v>1</v>
      </c>
      <c r="G391" s="40" t="s">
        <v>302</v>
      </c>
      <c r="H391" s="29">
        <v>2</v>
      </c>
      <c r="I391" s="9">
        <v>2</v>
      </c>
      <c r="J391" s="9">
        <v>3</v>
      </c>
      <c r="K391" s="9">
        <v>3</v>
      </c>
      <c r="L391" s="9">
        <v>1</v>
      </c>
      <c r="M391" s="9">
        <v>2</v>
      </c>
      <c r="N391" s="185">
        <f t="shared" si="33"/>
        <v>0.59189702474662764</v>
      </c>
      <c r="O391" s="159">
        <f t="shared" si="34"/>
        <v>0.59189702474662764</v>
      </c>
      <c r="P391" s="63"/>
    </row>
    <row r="392" spans="1:16" hidden="1">
      <c r="A392" s="151" t="s">
        <v>175</v>
      </c>
      <c r="B392" s="34" t="s">
        <v>179</v>
      </c>
      <c r="C392" s="40" t="s">
        <v>139</v>
      </c>
      <c r="D392" s="34" t="s">
        <v>139</v>
      </c>
      <c r="E392" s="257" t="s">
        <v>150</v>
      </c>
      <c r="F392" s="232">
        <v>1</v>
      </c>
      <c r="G392" s="40"/>
      <c r="H392" s="29"/>
      <c r="I392" s="9"/>
      <c r="J392" s="9"/>
      <c r="K392" s="9"/>
      <c r="L392" s="9"/>
      <c r="M392" s="9"/>
      <c r="N392" s="185" t="str">
        <f t="shared" si="33"/>
        <v/>
      </c>
      <c r="O392" s="159" t="str">
        <f t="shared" si="34"/>
        <v/>
      </c>
      <c r="P392" s="63"/>
    </row>
    <row r="393" spans="1:16" hidden="1">
      <c r="A393" s="151" t="s">
        <v>175</v>
      </c>
      <c r="B393" s="34" t="s">
        <v>179</v>
      </c>
      <c r="C393" s="40" t="s">
        <v>139</v>
      </c>
      <c r="D393" s="34" t="s">
        <v>139</v>
      </c>
      <c r="E393" s="40" t="s">
        <v>150</v>
      </c>
      <c r="F393" s="232">
        <v>1</v>
      </c>
      <c r="G393" s="40"/>
      <c r="H393" s="29"/>
      <c r="I393" s="9"/>
      <c r="J393" s="9"/>
      <c r="K393" s="9"/>
      <c r="L393" s="9"/>
      <c r="M393" s="9"/>
      <c r="N393" s="185" t="str">
        <f t="shared" si="33"/>
        <v/>
      </c>
      <c r="O393" s="159" t="str">
        <f t="shared" si="34"/>
        <v/>
      </c>
      <c r="P393" s="838"/>
    </row>
    <row r="394" spans="1:16" hidden="1">
      <c r="A394" s="151" t="s">
        <v>112</v>
      </c>
      <c r="B394" s="34" t="s">
        <v>241</v>
      </c>
      <c r="C394" s="40" t="s">
        <v>139</v>
      </c>
      <c r="D394" s="34" t="s">
        <v>87</v>
      </c>
      <c r="E394" s="257">
        <v>0</v>
      </c>
      <c r="F394" s="232">
        <v>1</v>
      </c>
      <c r="G394" s="40"/>
      <c r="H394" s="29"/>
      <c r="I394" s="9"/>
      <c r="J394" s="9"/>
      <c r="K394" s="9"/>
      <c r="L394" s="9"/>
      <c r="M394" s="9"/>
      <c r="N394" s="185" t="str">
        <f t="shared" si="33"/>
        <v/>
      </c>
      <c r="O394" s="159" t="str">
        <f t="shared" si="34"/>
        <v/>
      </c>
      <c r="P394" s="63"/>
    </row>
    <row r="395" spans="1:16" hidden="1">
      <c r="A395" s="151" t="s">
        <v>112</v>
      </c>
      <c r="B395" s="34" t="s">
        <v>241</v>
      </c>
      <c r="C395" s="40" t="s">
        <v>139</v>
      </c>
      <c r="D395" s="34" t="s">
        <v>88</v>
      </c>
      <c r="E395" s="257">
        <v>0</v>
      </c>
      <c r="F395" s="232">
        <v>1</v>
      </c>
      <c r="G395" s="40"/>
      <c r="H395" s="29"/>
      <c r="I395" s="9"/>
      <c r="J395" s="9"/>
      <c r="K395" s="9"/>
      <c r="L395" s="9"/>
      <c r="M395" s="9"/>
      <c r="N395" s="185" t="str">
        <f t="shared" si="33"/>
        <v/>
      </c>
      <c r="O395" s="159" t="str">
        <f t="shared" si="34"/>
        <v/>
      </c>
      <c r="P395" s="63"/>
    </row>
    <row r="396" spans="1:16" hidden="1">
      <c r="A396" s="151" t="s">
        <v>112</v>
      </c>
      <c r="B396" s="34" t="s">
        <v>241</v>
      </c>
      <c r="C396" s="40" t="s">
        <v>139</v>
      </c>
      <c r="D396" s="34" t="s">
        <v>89</v>
      </c>
      <c r="E396" s="257">
        <v>0</v>
      </c>
      <c r="F396" s="232">
        <v>1</v>
      </c>
      <c r="G396" s="40"/>
      <c r="H396" s="29"/>
      <c r="I396" s="9"/>
      <c r="J396" s="9"/>
      <c r="K396" s="9"/>
      <c r="L396" s="9"/>
      <c r="M396" s="9"/>
      <c r="N396" s="185" t="str">
        <f t="shared" si="33"/>
        <v/>
      </c>
      <c r="O396" s="159" t="str">
        <f t="shared" si="34"/>
        <v/>
      </c>
      <c r="P396" s="63"/>
    </row>
    <row r="397" spans="1:16" hidden="1">
      <c r="A397" s="151" t="s">
        <v>112</v>
      </c>
      <c r="B397" s="34" t="s">
        <v>241</v>
      </c>
      <c r="C397" s="40" t="s">
        <v>139</v>
      </c>
      <c r="D397" s="34" t="s">
        <v>90</v>
      </c>
      <c r="E397" s="257">
        <v>0</v>
      </c>
      <c r="F397" s="232">
        <v>1</v>
      </c>
      <c r="G397" s="40"/>
      <c r="H397" s="29"/>
      <c r="I397" s="9"/>
      <c r="J397" s="9"/>
      <c r="K397" s="9"/>
      <c r="L397" s="9"/>
      <c r="M397" s="9"/>
      <c r="N397" s="185" t="str">
        <f t="shared" si="33"/>
        <v/>
      </c>
      <c r="O397" s="159" t="str">
        <f t="shared" si="34"/>
        <v/>
      </c>
      <c r="P397" s="63"/>
    </row>
    <row r="398" spans="1:16" hidden="1">
      <c r="A398" s="151" t="s">
        <v>112</v>
      </c>
      <c r="B398" s="34" t="s">
        <v>241</v>
      </c>
      <c r="C398" s="40" t="s">
        <v>139</v>
      </c>
      <c r="D398" s="34" t="s">
        <v>91</v>
      </c>
      <c r="E398" s="257">
        <v>2.0260014591638925E-2</v>
      </c>
      <c r="F398" s="232">
        <v>1</v>
      </c>
      <c r="G398" s="40" t="s">
        <v>163</v>
      </c>
      <c r="H398" s="29">
        <v>2</v>
      </c>
      <c r="I398" s="9">
        <v>2</v>
      </c>
      <c r="J398" s="9">
        <v>2</v>
      </c>
      <c r="K398" s="9">
        <v>2</v>
      </c>
      <c r="L398" s="9">
        <v>1</v>
      </c>
      <c r="M398" s="9">
        <v>2</v>
      </c>
      <c r="N398" s="185">
        <f t="shared" si="33"/>
        <v>0.38795788889711302</v>
      </c>
      <c r="O398" s="159">
        <f t="shared" si="34"/>
        <v>0.38795788889711302</v>
      </c>
      <c r="P398" s="63"/>
    </row>
    <row r="399" spans="1:16" hidden="1">
      <c r="A399" s="151" t="s">
        <v>228</v>
      </c>
      <c r="B399" s="34" t="s">
        <v>303</v>
      </c>
      <c r="C399" s="40" t="s">
        <v>139</v>
      </c>
      <c r="D399" s="34" t="s">
        <v>139</v>
      </c>
      <c r="E399" s="257" t="s">
        <v>150</v>
      </c>
      <c r="F399" s="232">
        <v>1</v>
      </c>
      <c r="G399" s="40"/>
      <c r="H399" s="29"/>
      <c r="I399" s="9"/>
      <c r="J399" s="9"/>
      <c r="K399" s="9"/>
      <c r="L399" s="9"/>
      <c r="M399" s="9"/>
      <c r="N399" s="185" t="str">
        <f t="shared" si="33"/>
        <v/>
      </c>
      <c r="O399" s="159" t="str">
        <f t="shared" si="34"/>
        <v/>
      </c>
      <c r="P399" s="63"/>
    </row>
    <row r="400" spans="1:16" hidden="1">
      <c r="A400" s="151" t="s">
        <v>283</v>
      </c>
      <c r="B400" s="34" t="s">
        <v>179</v>
      </c>
      <c r="C400" s="40" t="s">
        <v>139</v>
      </c>
      <c r="D400" s="34" t="s">
        <v>86</v>
      </c>
      <c r="E400" s="257">
        <v>7.5999999999999998E-2</v>
      </c>
      <c r="F400" s="232">
        <v>1</v>
      </c>
      <c r="G400" s="40" t="s">
        <v>304</v>
      </c>
      <c r="H400" s="29">
        <v>2</v>
      </c>
      <c r="I400" s="9">
        <v>2</v>
      </c>
      <c r="J400" s="9">
        <v>3</v>
      </c>
      <c r="K400" s="9">
        <v>3</v>
      </c>
      <c r="L400" s="9">
        <v>1</v>
      </c>
      <c r="M400" s="9">
        <v>2</v>
      </c>
      <c r="N400" s="185">
        <f t="shared" si="33"/>
        <v>0.59189702474662764</v>
      </c>
      <c r="O400" s="159">
        <f t="shared" si="34"/>
        <v>0.59189702474662764</v>
      </c>
      <c r="P400" s="63"/>
    </row>
    <row r="401" spans="1:16" hidden="1">
      <c r="A401" s="151" t="s">
        <v>283</v>
      </c>
      <c r="B401" s="34" t="s">
        <v>179</v>
      </c>
      <c r="C401" s="40" t="s">
        <v>139</v>
      </c>
      <c r="D401" s="34" t="s">
        <v>87</v>
      </c>
      <c r="E401" s="257">
        <v>7.5999999999999998E-2</v>
      </c>
      <c r="F401" s="232">
        <v>1</v>
      </c>
      <c r="G401" s="40" t="s">
        <v>305</v>
      </c>
      <c r="H401" s="29">
        <v>2</v>
      </c>
      <c r="I401" s="9">
        <v>2</v>
      </c>
      <c r="J401" s="9">
        <v>3</v>
      </c>
      <c r="K401" s="9">
        <v>3</v>
      </c>
      <c r="L401" s="9">
        <v>1</v>
      </c>
      <c r="M401" s="9">
        <v>2</v>
      </c>
      <c r="N401" s="185">
        <f t="shared" si="33"/>
        <v>0.59189702474662764</v>
      </c>
      <c r="O401" s="159">
        <f t="shared" si="34"/>
        <v>0.59189702474662764</v>
      </c>
      <c r="P401" s="63"/>
    </row>
    <row r="402" spans="1:16" hidden="1">
      <c r="A402" s="151" t="s">
        <v>256</v>
      </c>
      <c r="B402" s="34" t="s">
        <v>267</v>
      </c>
      <c r="C402" s="40" t="s">
        <v>180</v>
      </c>
      <c r="D402" s="69" t="s">
        <v>94</v>
      </c>
      <c r="E402" s="848">
        <v>1</v>
      </c>
      <c r="F402" s="34">
        <v>1</v>
      </c>
      <c r="G402" s="339" t="s">
        <v>110</v>
      </c>
      <c r="H402" s="29">
        <v>1</v>
      </c>
      <c r="I402" s="9"/>
      <c r="J402" s="9">
        <v>1</v>
      </c>
      <c r="K402" s="9">
        <v>1</v>
      </c>
      <c r="L402" s="9">
        <v>2</v>
      </c>
      <c r="M402" s="9">
        <v>2</v>
      </c>
      <c r="N402" s="185">
        <f t="shared" si="33"/>
        <v>0.35859414261160716</v>
      </c>
      <c r="O402" s="159" t="str">
        <f t="shared" si="34"/>
        <v/>
      </c>
      <c r="P402" s="63"/>
    </row>
    <row r="403" spans="1:16" hidden="1">
      <c r="A403" s="151" t="s">
        <v>283</v>
      </c>
      <c r="B403" s="34" t="s">
        <v>179</v>
      </c>
      <c r="C403" s="40" t="s">
        <v>139</v>
      </c>
      <c r="D403" s="34" t="s">
        <v>88</v>
      </c>
      <c r="E403" s="257">
        <v>7.5999999999999998E-2</v>
      </c>
      <c r="F403" s="232">
        <v>1</v>
      </c>
      <c r="G403" s="40" t="s">
        <v>306</v>
      </c>
      <c r="H403" s="29">
        <v>2</v>
      </c>
      <c r="I403" s="9">
        <v>2</v>
      </c>
      <c r="J403" s="9">
        <v>3</v>
      </c>
      <c r="K403" s="9">
        <v>3</v>
      </c>
      <c r="L403" s="9">
        <v>1</v>
      </c>
      <c r="M403" s="9">
        <v>2</v>
      </c>
      <c r="N403" s="185">
        <f t="shared" si="33"/>
        <v>0.59189702474662764</v>
      </c>
      <c r="O403" s="159">
        <f t="shared" si="34"/>
        <v>0.59189702474662764</v>
      </c>
      <c r="P403" s="63"/>
    </row>
    <row r="404" spans="1:16" hidden="1">
      <c r="A404" s="151" t="s">
        <v>283</v>
      </c>
      <c r="B404" s="34" t="s">
        <v>179</v>
      </c>
      <c r="C404" s="40" t="s">
        <v>139</v>
      </c>
      <c r="D404" s="34" t="s">
        <v>89</v>
      </c>
      <c r="E404" s="257">
        <v>7.5999999999999998E-2</v>
      </c>
      <c r="F404" s="232">
        <v>1</v>
      </c>
      <c r="G404" s="40" t="s">
        <v>307</v>
      </c>
      <c r="H404" s="29">
        <v>2</v>
      </c>
      <c r="I404" s="9">
        <v>2</v>
      </c>
      <c r="J404" s="9">
        <v>3</v>
      </c>
      <c r="K404" s="9">
        <v>3</v>
      </c>
      <c r="L404" s="9">
        <v>1</v>
      </c>
      <c r="M404" s="9">
        <v>2</v>
      </c>
      <c r="N404" s="185">
        <f t="shared" si="33"/>
        <v>0.59189702474662764</v>
      </c>
      <c r="O404" s="159">
        <f t="shared" si="34"/>
        <v>0.59189702474662764</v>
      </c>
      <c r="P404" s="63"/>
    </row>
    <row r="405" spans="1:16" hidden="1">
      <c r="A405" s="151" t="s">
        <v>37</v>
      </c>
      <c r="B405" s="34" t="s">
        <v>308</v>
      </c>
      <c r="C405" s="40" t="s">
        <v>139</v>
      </c>
      <c r="D405" s="34" t="s">
        <v>85</v>
      </c>
      <c r="E405" s="257">
        <f>Intentionally_produced_MPs!V127</f>
        <v>0</v>
      </c>
      <c r="F405" s="232">
        <v>1</v>
      </c>
      <c r="G405" s="40"/>
      <c r="H405" s="29"/>
      <c r="I405" s="9"/>
      <c r="J405" s="9"/>
      <c r="K405" s="9"/>
      <c r="L405" s="9"/>
      <c r="M405" s="9"/>
      <c r="N405" s="185" t="str">
        <f t="shared" si="33"/>
        <v/>
      </c>
      <c r="O405" s="159" t="str">
        <f t="shared" si="34"/>
        <v/>
      </c>
      <c r="P405" s="63"/>
    </row>
    <row r="406" spans="1:16" hidden="1">
      <c r="A406" s="151" t="s">
        <v>37</v>
      </c>
      <c r="B406" s="34" t="s">
        <v>308</v>
      </c>
      <c r="C406" s="40" t="s">
        <v>139</v>
      </c>
      <c r="D406" s="34" t="s">
        <v>86</v>
      </c>
      <c r="E406" s="257">
        <f>Intentionally_produced_MPs!V128</f>
        <v>0</v>
      </c>
      <c r="F406" s="232">
        <v>1</v>
      </c>
      <c r="G406" s="40"/>
      <c r="H406" s="29"/>
      <c r="I406" s="9"/>
      <c r="J406" s="9"/>
      <c r="K406" s="9"/>
      <c r="L406" s="9"/>
      <c r="M406" s="9"/>
      <c r="N406" s="185" t="str">
        <f t="shared" si="33"/>
        <v/>
      </c>
      <c r="O406" s="159" t="str">
        <f t="shared" si="34"/>
        <v/>
      </c>
      <c r="P406" s="63"/>
    </row>
    <row r="407" spans="1:16" hidden="1">
      <c r="A407" s="151" t="s">
        <v>37</v>
      </c>
      <c r="B407" s="34" t="s">
        <v>308</v>
      </c>
      <c r="C407" s="40" t="s">
        <v>139</v>
      </c>
      <c r="D407" s="34" t="s">
        <v>87</v>
      </c>
      <c r="E407" s="257">
        <f>Intentionally_produced_MPs!V129</f>
        <v>0</v>
      </c>
      <c r="F407" s="232">
        <v>1</v>
      </c>
      <c r="G407" s="40"/>
      <c r="H407" s="29"/>
      <c r="I407" s="9"/>
      <c r="J407" s="9"/>
      <c r="K407" s="9"/>
      <c r="L407" s="9"/>
      <c r="M407" s="9"/>
      <c r="N407" s="185" t="str">
        <f t="shared" si="33"/>
        <v/>
      </c>
      <c r="O407" s="159" t="str">
        <f t="shared" si="34"/>
        <v/>
      </c>
      <c r="P407" s="63"/>
    </row>
    <row r="408" spans="1:16" hidden="1">
      <c r="A408" s="151" t="s">
        <v>37</v>
      </c>
      <c r="B408" s="34" t="s">
        <v>308</v>
      </c>
      <c r="C408" s="40" t="s">
        <v>139</v>
      </c>
      <c r="D408" s="34" t="s">
        <v>88</v>
      </c>
      <c r="E408" s="257">
        <f>Intentionally_produced_MPs!V130</f>
        <v>0</v>
      </c>
      <c r="F408" s="232">
        <v>1</v>
      </c>
      <c r="G408" s="40"/>
      <c r="H408" s="29"/>
      <c r="I408" s="9"/>
      <c r="J408" s="9"/>
      <c r="K408" s="9"/>
      <c r="L408" s="9"/>
      <c r="M408" s="9"/>
      <c r="N408" s="185" t="str">
        <f t="shared" si="33"/>
        <v/>
      </c>
      <c r="O408" s="159" t="str">
        <f t="shared" si="34"/>
        <v/>
      </c>
      <c r="P408" s="63"/>
    </row>
    <row r="409" spans="1:16" hidden="1">
      <c r="A409" s="151" t="s">
        <v>37</v>
      </c>
      <c r="B409" s="34" t="s">
        <v>308</v>
      </c>
      <c r="C409" s="40" t="s">
        <v>139</v>
      </c>
      <c r="D409" s="34" t="s">
        <v>89</v>
      </c>
      <c r="E409" s="257">
        <f>Intentionally_produced_MPs!V131</f>
        <v>0</v>
      </c>
      <c r="F409" s="232">
        <v>1</v>
      </c>
      <c r="G409" s="40"/>
      <c r="H409" s="29"/>
      <c r="I409" s="9"/>
      <c r="J409" s="9"/>
      <c r="K409" s="9"/>
      <c r="L409" s="9"/>
      <c r="M409" s="9"/>
      <c r="N409" s="185" t="str">
        <f t="shared" si="33"/>
        <v/>
      </c>
      <c r="O409" s="159" t="str">
        <f t="shared" si="34"/>
        <v/>
      </c>
      <c r="P409" s="63"/>
    </row>
    <row r="410" spans="1:16" hidden="1">
      <c r="A410" s="151" t="s">
        <v>37</v>
      </c>
      <c r="B410" s="34" t="s">
        <v>308</v>
      </c>
      <c r="C410" s="40" t="s">
        <v>139</v>
      </c>
      <c r="D410" s="34" t="s">
        <v>90</v>
      </c>
      <c r="E410" s="257">
        <f>Intentionally_produced_MPs!V132</f>
        <v>0</v>
      </c>
      <c r="F410" s="232">
        <v>1</v>
      </c>
      <c r="G410" s="40"/>
      <c r="H410" s="29"/>
      <c r="I410" s="9"/>
      <c r="J410" s="9"/>
      <c r="K410" s="9"/>
      <c r="L410" s="9"/>
      <c r="M410" s="9"/>
      <c r="N410" s="185" t="str">
        <f t="shared" si="33"/>
        <v/>
      </c>
      <c r="O410" s="159" t="str">
        <f t="shared" si="34"/>
        <v/>
      </c>
      <c r="P410" s="63"/>
    </row>
    <row r="411" spans="1:16" hidden="1">
      <c r="A411" s="151" t="s">
        <v>37</v>
      </c>
      <c r="B411" s="34" t="s">
        <v>308</v>
      </c>
      <c r="C411" s="40" t="s">
        <v>139</v>
      </c>
      <c r="D411" s="34" t="s">
        <v>91</v>
      </c>
      <c r="E411" s="257">
        <f>Intentionally_produced_MPs!V133</f>
        <v>0</v>
      </c>
      <c r="F411" s="232">
        <v>1</v>
      </c>
      <c r="G411" s="40"/>
      <c r="H411" s="29"/>
      <c r="I411" s="9"/>
      <c r="J411" s="9"/>
      <c r="K411" s="9"/>
      <c r="L411" s="9"/>
      <c r="M411" s="9"/>
      <c r="N411" s="185" t="str">
        <f t="shared" si="33"/>
        <v/>
      </c>
      <c r="O411" s="159" t="str">
        <f t="shared" si="34"/>
        <v/>
      </c>
      <c r="P411" s="63"/>
    </row>
    <row r="412" spans="1:16" hidden="1">
      <c r="A412" s="151" t="s">
        <v>37</v>
      </c>
      <c r="B412" s="34" t="s">
        <v>308</v>
      </c>
      <c r="C412" s="40" t="s">
        <v>139</v>
      </c>
      <c r="D412" s="34" t="s">
        <v>92</v>
      </c>
      <c r="E412" s="257">
        <f>Intentionally_produced_MPs!V134</f>
        <v>1</v>
      </c>
      <c r="F412" s="232">
        <v>1</v>
      </c>
      <c r="G412" s="40" t="s">
        <v>309</v>
      </c>
      <c r="H412" s="29"/>
      <c r="I412" s="9"/>
      <c r="J412" s="9"/>
      <c r="K412" s="9"/>
      <c r="L412" s="9"/>
      <c r="M412" s="9"/>
      <c r="N412" s="185" t="str">
        <f t="shared" si="33"/>
        <v/>
      </c>
      <c r="O412" s="159" t="str">
        <f t="shared" si="34"/>
        <v/>
      </c>
      <c r="P412" s="63"/>
    </row>
    <row r="413" spans="1:16" hidden="1">
      <c r="A413" s="151" t="s">
        <v>37</v>
      </c>
      <c r="B413" s="34" t="s">
        <v>308</v>
      </c>
      <c r="C413" s="40" t="s">
        <v>139</v>
      </c>
      <c r="D413" s="34" t="s">
        <v>93</v>
      </c>
      <c r="E413" s="257">
        <f>Intentionally_produced_MPs!V135</f>
        <v>0</v>
      </c>
      <c r="F413" s="232">
        <v>1</v>
      </c>
      <c r="G413" s="40"/>
      <c r="H413" s="29"/>
      <c r="I413" s="9"/>
      <c r="J413" s="9"/>
      <c r="K413" s="9"/>
      <c r="L413" s="9"/>
      <c r="M413" s="9"/>
      <c r="N413" s="185" t="str">
        <f t="shared" si="33"/>
        <v/>
      </c>
      <c r="O413" s="159" t="str">
        <f t="shared" si="34"/>
        <v/>
      </c>
      <c r="P413" s="63"/>
    </row>
    <row r="414" spans="1:16" hidden="1">
      <c r="A414" s="151" t="s">
        <v>37</v>
      </c>
      <c r="B414" s="34" t="s">
        <v>308</v>
      </c>
      <c r="C414" s="40" t="s">
        <v>139</v>
      </c>
      <c r="D414" s="34" t="s">
        <v>94</v>
      </c>
      <c r="E414" s="257">
        <f>Intentionally_produced_MPs!V136</f>
        <v>0</v>
      </c>
      <c r="F414" s="232">
        <v>1</v>
      </c>
      <c r="G414" s="40"/>
      <c r="H414" s="29"/>
      <c r="I414" s="9"/>
      <c r="J414" s="9"/>
      <c r="K414" s="9"/>
      <c r="L414" s="9"/>
      <c r="M414" s="9"/>
      <c r="N414" s="185" t="str">
        <f t="shared" si="33"/>
        <v/>
      </c>
      <c r="O414" s="159" t="str">
        <f t="shared" si="34"/>
        <v/>
      </c>
      <c r="P414" s="63"/>
    </row>
    <row r="415" spans="1:16" hidden="1">
      <c r="A415" s="151" t="s">
        <v>37</v>
      </c>
      <c r="B415" s="34" t="s">
        <v>308</v>
      </c>
      <c r="C415" s="40" t="s">
        <v>139</v>
      </c>
      <c r="D415" s="34" t="s">
        <v>95</v>
      </c>
      <c r="E415" s="257">
        <f>Intentionally_produced_MPs!V137</f>
        <v>0</v>
      </c>
      <c r="F415" s="232">
        <v>1</v>
      </c>
      <c r="G415" s="40"/>
      <c r="H415" s="29"/>
      <c r="I415" s="9"/>
      <c r="J415" s="9"/>
      <c r="K415" s="9"/>
      <c r="L415" s="9"/>
      <c r="M415" s="9"/>
      <c r="N415" s="185" t="str">
        <f t="shared" si="33"/>
        <v/>
      </c>
      <c r="O415" s="159" t="str">
        <f t="shared" si="34"/>
        <v/>
      </c>
      <c r="P415" s="63"/>
    </row>
    <row r="416" spans="1:16" hidden="1">
      <c r="A416" s="151" t="s">
        <v>37</v>
      </c>
      <c r="B416" s="34" t="s">
        <v>308</v>
      </c>
      <c r="C416" s="40" t="s">
        <v>139</v>
      </c>
      <c r="D416" s="34" t="s">
        <v>96</v>
      </c>
      <c r="E416" s="257">
        <f>Intentionally_produced_MPs!V138</f>
        <v>0</v>
      </c>
      <c r="F416" s="232">
        <v>1</v>
      </c>
      <c r="G416" s="40"/>
      <c r="H416" s="29"/>
      <c r="I416" s="9"/>
      <c r="J416" s="9"/>
      <c r="K416" s="9"/>
      <c r="L416" s="9"/>
      <c r="M416" s="9"/>
      <c r="N416" s="185" t="str">
        <f t="shared" si="33"/>
        <v/>
      </c>
      <c r="O416" s="159" t="str">
        <f t="shared" si="34"/>
        <v/>
      </c>
      <c r="P416" s="63"/>
    </row>
    <row r="417" spans="1:16" hidden="1">
      <c r="A417" s="151" t="s">
        <v>37</v>
      </c>
      <c r="B417" s="34" t="s">
        <v>308</v>
      </c>
      <c r="C417" s="40" t="s">
        <v>139</v>
      </c>
      <c r="D417" s="34" t="s">
        <v>97</v>
      </c>
      <c r="E417" s="257">
        <f>Intentionally_produced_MPs!V139</f>
        <v>0</v>
      </c>
      <c r="F417" s="232">
        <v>1</v>
      </c>
      <c r="G417" s="40"/>
      <c r="H417" s="29"/>
      <c r="I417" s="9"/>
      <c r="J417" s="9"/>
      <c r="K417" s="9"/>
      <c r="L417" s="9"/>
      <c r="M417" s="9"/>
      <c r="N417" s="185" t="str">
        <f t="shared" si="33"/>
        <v/>
      </c>
      <c r="O417" s="159" t="str">
        <f t="shared" si="34"/>
        <v/>
      </c>
      <c r="P417" s="63"/>
    </row>
    <row r="418" spans="1:16" hidden="1">
      <c r="A418" s="151" t="s">
        <v>37</v>
      </c>
      <c r="B418" s="34" t="s">
        <v>308</v>
      </c>
      <c r="C418" s="40" t="s">
        <v>139</v>
      </c>
      <c r="D418" s="34" t="s">
        <v>98</v>
      </c>
      <c r="E418" s="257">
        <f>Intentionally_produced_MPs!V140</f>
        <v>0</v>
      </c>
      <c r="F418" s="232">
        <v>1</v>
      </c>
      <c r="G418" s="40"/>
      <c r="H418" s="29"/>
      <c r="I418" s="9"/>
      <c r="J418" s="9"/>
      <c r="K418" s="9"/>
      <c r="L418" s="9"/>
      <c r="M418" s="9"/>
      <c r="N418" s="185" t="str">
        <f t="shared" si="33"/>
        <v/>
      </c>
      <c r="O418" s="159" t="str">
        <f t="shared" si="34"/>
        <v/>
      </c>
      <c r="P418" s="63"/>
    </row>
    <row r="419" spans="1:16" hidden="1">
      <c r="A419" s="151" t="s">
        <v>308</v>
      </c>
      <c r="B419" s="34" t="s">
        <v>310</v>
      </c>
      <c r="C419" s="515" t="s">
        <v>139</v>
      </c>
      <c r="D419" s="37" t="s">
        <v>139</v>
      </c>
      <c r="E419" s="515" t="s">
        <v>150</v>
      </c>
      <c r="F419" s="37">
        <v>1</v>
      </c>
      <c r="G419" s="40"/>
      <c r="H419" s="29"/>
      <c r="I419" s="9"/>
      <c r="J419" s="9"/>
      <c r="K419" s="9"/>
      <c r="L419" s="9"/>
      <c r="M419" s="9"/>
      <c r="N419" s="185" t="str">
        <f t="shared" si="33"/>
        <v/>
      </c>
      <c r="O419" s="159" t="str">
        <f t="shared" si="34"/>
        <v/>
      </c>
      <c r="P419" s="63"/>
    </row>
    <row r="420" spans="1:16" hidden="1">
      <c r="A420" s="151" t="s">
        <v>308</v>
      </c>
      <c r="B420" s="34" t="s">
        <v>311</v>
      </c>
      <c r="C420" s="515" t="s">
        <v>139</v>
      </c>
      <c r="D420" s="37" t="s">
        <v>139</v>
      </c>
      <c r="E420" s="308">
        <v>0.11</v>
      </c>
      <c r="F420" s="37">
        <v>2</v>
      </c>
      <c r="G420" s="40" t="s">
        <v>312</v>
      </c>
      <c r="H420" s="29">
        <v>2</v>
      </c>
      <c r="I420" s="9">
        <v>2</v>
      </c>
      <c r="J420" s="9">
        <v>1</v>
      </c>
      <c r="K420" s="9">
        <v>1</v>
      </c>
      <c r="L420" s="9">
        <v>1</v>
      </c>
      <c r="M420" s="9">
        <v>1</v>
      </c>
      <c r="N420" s="185">
        <f t="shared" si="33"/>
        <v>0.16933510251023262</v>
      </c>
      <c r="O420" s="159">
        <f t="shared" si="34"/>
        <v>0.16933510251023262</v>
      </c>
      <c r="P420" s="63"/>
    </row>
    <row r="421" spans="1:16" hidden="1">
      <c r="A421" s="151" t="s">
        <v>37</v>
      </c>
      <c r="B421" s="34" t="s">
        <v>313</v>
      </c>
      <c r="C421" s="40" t="s">
        <v>139</v>
      </c>
      <c r="D421" s="34" t="s">
        <v>85</v>
      </c>
      <c r="E421" s="257">
        <f>Intentionally_produced_MPs!N127</f>
        <v>0</v>
      </c>
      <c r="F421" s="232">
        <v>1</v>
      </c>
      <c r="G421" s="40"/>
      <c r="H421" s="29"/>
      <c r="I421" s="9"/>
      <c r="J421" s="9"/>
      <c r="K421" s="9"/>
      <c r="L421" s="9"/>
      <c r="M421" s="9"/>
      <c r="N421" s="185" t="str">
        <f t="shared" si="33"/>
        <v/>
      </c>
      <c r="O421" s="159" t="str">
        <f t="shared" si="34"/>
        <v/>
      </c>
      <c r="P421" s="63"/>
    </row>
    <row r="422" spans="1:16" hidden="1">
      <c r="A422" s="151" t="s">
        <v>37</v>
      </c>
      <c r="B422" s="34" t="s">
        <v>313</v>
      </c>
      <c r="C422" s="40" t="s">
        <v>139</v>
      </c>
      <c r="D422" s="34" t="s">
        <v>86</v>
      </c>
      <c r="E422" s="257">
        <f>Intentionally_produced_MPs!N128</f>
        <v>0</v>
      </c>
      <c r="F422" s="232">
        <v>1</v>
      </c>
      <c r="G422" s="40"/>
      <c r="H422" s="29"/>
      <c r="I422" s="9"/>
      <c r="J422" s="9"/>
      <c r="K422" s="9"/>
      <c r="L422" s="9"/>
      <c r="M422" s="9"/>
      <c r="N422" s="185" t="str">
        <f t="shared" ref="N422:N453" si="35">IF( OR( ISBLANK(H422),ISBLANK(J422), ISBLANK(K422), ISBLANK(L422), ISBLANK(M422) ), "", 1.5*SQRT(   EXP(2.21*(H422-1)) + EXP(2.21*(J422-1)) + EXP(2.21*(K422-1)) + EXP(2.21*(L422-1)) + EXP(2.21*M422)   )/100*2.45 )</f>
        <v/>
      </c>
      <c r="O422" s="159" t="str">
        <f t="shared" ref="O422:O453" si="36">IF( OR( ISBLANK(I422),ISBLANK(J422), ISBLANK(K422), ISBLANK(L422), ISBLANK(M422) ), "", 1.5*SQRT( EXP(2.21*(I422-1)) + EXP(2.21*(J422-1)) + EXP(2.21*(K422-1)) + EXP(2.21*(L422-1)) + EXP(2.21*M422)   )/100*2.45 )</f>
        <v/>
      </c>
      <c r="P422" s="63"/>
    </row>
    <row r="423" spans="1:16" hidden="1">
      <c r="A423" s="151" t="s">
        <v>37</v>
      </c>
      <c r="B423" s="34" t="s">
        <v>313</v>
      </c>
      <c r="C423" s="40" t="s">
        <v>139</v>
      </c>
      <c r="D423" s="34" t="s">
        <v>87</v>
      </c>
      <c r="E423" s="257">
        <f>Intentionally_produced_MPs!N129</f>
        <v>0</v>
      </c>
      <c r="F423" s="232">
        <v>1</v>
      </c>
      <c r="G423" s="40"/>
      <c r="H423" s="29"/>
      <c r="I423" s="9"/>
      <c r="J423" s="9"/>
      <c r="K423" s="9"/>
      <c r="L423" s="9"/>
      <c r="M423" s="9"/>
      <c r="N423" s="185" t="str">
        <f t="shared" si="35"/>
        <v/>
      </c>
      <c r="O423" s="159" t="str">
        <f t="shared" si="36"/>
        <v/>
      </c>
      <c r="P423" s="63"/>
    </row>
    <row r="424" spans="1:16" hidden="1">
      <c r="A424" s="151" t="s">
        <v>37</v>
      </c>
      <c r="B424" s="34" t="s">
        <v>313</v>
      </c>
      <c r="C424" s="40" t="s">
        <v>139</v>
      </c>
      <c r="D424" s="34" t="s">
        <v>88</v>
      </c>
      <c r="E424" s="257">
        <f>Intentionally_produced_MPs!N130</f>
        <v>0</v>
      </c>
      <c r="F424" s="232">
        <v>1</v>
      </c>
      <c r="G424" s="40"/>
      <c r="H424" s="29"/>
      <c r="I424" s="9"/>
      <c r="J424" s="9"/>
      <c r="K424" s="9"/>
      <c r="L424" s="9"/>
      <c r="M424" s="9"/>
      <c r="N424" s="185" t="str">
        <f t="shared" si="35"/>
        <v/>
      </c>
      <c r="O424" s="159" t="str">
        <f t="shared" si="36"/>
        <v/>
      </c>
      <c r="P424" s="63"/>
    </row>
    <row r="425" spans="1:16" hidden="1">
      <c r="A425" s="151" t="s">
        <v>37</v>
      </c>
      <c r="B425" s="34" t="s">
        <v>313</v>
      </c>
      <c r="C425" s="40" t="s">
        <v>139</v>
      </c>
      <c r="D425" s="34" t="s">
        <v>89</v>
      </c>
      <c r="E425" s="257">
        <f>Intentionally_produced_MPs!N131</f>
        <v>0</v>
      </c>
      <c r="F425" s="232">
        <v>1</v>
      </c>
      <c r="G425" s="40"/>
      <c r="H425" s="29"/>
      <c r="I425" s="9"/>
      <c r="J425" s="9"/>
      <c r="K425" s="9"/>
      <c r="L425" s="9"/>
      <c r="M425" s="9"/>
      <c r="N425" s="185" t="str">
        <f t="shared" si="35"/>
        <v/>
      </c>
      <c r="O425" s="159" t="str">
        <f t="shared" si="36"/>
        <v/>
      </c>
      <c r="P425" s="63"/>
    </row>
    <row r="426" spans="1:16" hidden="1">
      <c r="A426" s="151" t="s">
        <v>37</v>
      </c>
      <c r="B426" s="34" t="s">
        <v>313</v>
      </c>
      <c r="C426" s="40" t="s">
        <v>139</v>
      </c>
      <c r="D426" s="34" t="s">
        <v>90</v>
      </c>
      <c r="E426" s="257">
        <f>Intentionally_produced_MPs!N132</f>
        <v>0</v>
      </c>
      <c r="F426" s="232">
        <v>1</v>
      </c>
      <c r="G426" s="40"/>
      <c r="H426" s="29"/>
      <c r="I426" s="9"/>
      <c r="J426" s="9"/>
      <c r="K426" s="9"/>
      <c r="L426" s="9"/>
      <c r="M426" s="9"/>
      <c r="N426" s="185" t="str">
        <f t="shared" si="35"/>
        <v/>
      </c>
      <c r="O426" s="159" t="str">
        <f t="shared" si="36"/>
        <v/>
      </c>
      <c r="P426" s="63"/>
    </row>
    <row r="427" spans="1:16" hidden="1">
      <c r="A427" s="151" t="s">
        <v>37</v>
      </c>
      <c r="B427" s="34" t="s">
        <v>313</v>
      </c>
      <c r="C427" s="40" t="s">
        <v>139</v>
      </c>
      <c r="D427" s="34" t="s">
        <v>91</v>
      </c>
      <c r="E427" s="257">
        <f>Intentionally_produced_MPs!N133</f>
        <v>0</v>
      </c>
      <c r="F427" s="232">
        <v>1</v>
      </c>
      <c r="G427" s="40"/>
      <c r="H427" s="29"/>
      <c r="I427" s="9"/>
      <c r="J427" s="9"/>
      <c r="K427" s="9"/>
      <c r="L427" s="9"/>
      <c r="M427" s="9"/>
      <c r="N427" s="185" t="str">
        <f t="shared" si="35"/>
        <v/>
      </c>
      <c r="O427" s="159" t="str">
        <f t="shared" si="36"/>
        <v/>
      </c>
      <c r="P427" s="63"/>
    </row>
    <row r="428" spans="1:16" hidden="1">
      <c r="A428" s="151" t="s">
        <v>37</v>
      </c>
      <c r="B428" s="34" t="s">
        <v>313</v>
      </c>
      <c r="C428" s="40" t="s">
        <v>139</v>
      </c>
      <c r="D428" s="34" t="s">
        <v>92</v>
      </c>
      <c r="E428" s="257">
        <f>Intentionally_produced_MPs!N134</f>
        <v>0</v>
      </c>
      <c r="F428" s="232">
        <v>1</v>
      </c>
      <c r="G428" s="40"/>
      <c r="H428" s="29"/>
      <c r="I428" s="9"/>
      <c r="J428" s="9"/>
      <c r="K428" s="9"/>
      <c r="L428" s="9"/>
      <c r="M428" s="9"/>
      <c r="N428" s="185" t="str">
        <f t="shared" si="35"/>
        <v/>
      </c>
      <c r="O428" s="159" t="str">
        <f t="shared" si="36"/>
        <v/>
      </c>
      <c r="P428" s="63"/>
    </row>
    <row r="429" spans="1:16" hidden="1">
      <c r="A429" s="151" t="s">
        <v>37</v>
      </c>
      <c r="B429" s="34" t="s">
        <v>313</v>
      </c>
      <c r="C429" s="40" t="s">
        <v>139</v>
      </c>
      <c r="D429" s="34" t="s">
        <v>93</v>
      </c>
      <c r="E429" s="257">
        <f>Intentionally_produced_MPs!N135</f>
        <v>0</v>
      </c>
      <c r="F429" s="232">
        <v>1</v>
      </c>
      <c r="G429" s="40"/>
      <c r="H429" s="29"/>
      <c r="I429" s="9"/>
      <c r="J429" s="9"/>
      <c r="K429" s="9"/>
      <c r="L429" s="9"/>
      <c r="M429" s="9"/>
      <c r="N429" s="185" t="str">
        <f t="shared" si="35"/>
        <v/>
      </c>
      <c r="O429" s="159" t="str">
        <f t="shared" si="36"/>
        <v/>
      </c>
      <c r="P429" s="63"/>
    </row>
    <row r="430" spans="1:16" hidden="1">
      <c r="A430" s="151" t="s">
        <v>37</v>
      </c>
      <c r="B430" s="34" t="s">
        <v>313</v>
      </c>
      <c r="C430" s="40" t="s">
        <v>139</v>
      </c>
      <c r="D430" s="34" t="s">
        <v>94</v>
      </c>
      <c r="E430" s="257">
        <f>Intentionally_produced_MPs!N136</f>
        <v>0</v>
      </c>
      <c r="F430" s="232">
        <v>1</v>
      </c>
      <c r="G430" s="40"/>
      <c r="H430" s="29"/>
      <c r="I430" s="9"/>
      <c r="J430" s="9"/>
      <c r="K430" s="9"/>
      <c r="L430" s="9"/>
      <c r="M430" s="9"/>
      <c r="N430" s="185" t="str">
        <f t="shared" si="35"/>
        <v/>
      </c>
      <c r="O430" s="159" t="str">
        <f t="shared" si="36"/>
        <v/>
      </c>
      <c r="P430" s="63"/>
    </row>
    <row r="431" spans="1:16" hidden="1">
      <c r="A431" s="151" t="s">
        <v>37</v>
      </c>
      <c r="B431" s="34" t="s">
        <v>313</v>
      </c>
      <c r="C431" s="40" t="s">
        <v>139</v>
      </c>
      <c r="D431" s="34" t="s">
        <v>95</v>
      </c>
      <c r="E431" s="257">
        <f>Intentionally_produced_MPs!N137</f>
        <v>0</v>
      </c>
      <c r="F431" s="232">
        <v>1</v>
      </c>
      <c r="G431" s="40"/>
      <c r="H431" s="29"/>
      <c r="I431" s="9"/>
      <c r="J431" s="9"/>
      <c r="K431" s="9"/>
      <c r="L431" s="9"/>
      <c r="M431" s="9"/>
      <c r="N431" s="185" t="str">
        <f t="shared" si="35"/>
        <v/>
      </c>
      <c r="O431" s="159" t="str">
        <f t="shared" si="36"/>
        <v/>
      </c>
      <c r="P431" s="63"/>
    </row>
    <row r="432" spans="1:16" hidden="1">
      <c r="A432" s="151" t="s">
        <v>37</v>
      </c>
      <c r="B432" s="34" t="s">
        <v>313</v>
      </c>
      <c r="C432" s="40" t="s">
        <v>139</v>
      </c>
      <c r="D432" s="34" t="s">
        <v>96</v>
      </c>
      <c r="E432" s="257">
        <f>Intentionally_produced_MPs!N138</f>
        <v>0</v>
      </c>
      <c r="F432" s="232">
        <v>1</v>
      </c>
      <c r="G432" s="40"/>
      <c r="H432" s="29"/>
      <c r="I432" s="9"/>
      <c r="J432" s="9"/>
      <c r="K432" s="9"/>
      <c r="L432" s="9"/>
      <c r="M432" s="9"/>
      <c r="N432" s="185" t="str">
        <f t="shared" si="35"/>
        <v/>
      </c>
      <c r="O432" s="159" t="str">
        <f t="shared" si="36"/>
        <v/>
      </c>
      <c r="P432" s="63"/>
    </row>
    <row r="433" spans="1:16" hidden="1">
      <c r="A433" s="151" t="s">
        <v>37</v>
      </c>
      <c r="B433" s="34" t="s">
        <v>313</v>
      </c>
      <c r="C433" s="40" t="s">
        <v>139</v>
      </c>
      <c r="D433" s="34" t="s">
        <v>97</v>
      </c>
      <c r="E433" s="257">
        <f>Intentionally_produced_MPs!N139</f>
        <v>0</v>
      </c>
      <c r="F433" s="232">
        <v>1</v>
      </c>
      <c r="G433" s="40"/>
      <c r="H433" s="29"/>
      <c r="I433" s="9"/>
      <c r="J433" s="9"/>
      <c r="K433" s="9"/>
      <c r="L433" s="9"/>
      <c r="M433" s="9"/>
      <c r="N433" s="185" t="str">
        <f t="shared" si="35"/>
        <v/>
      </c>
      <c r="O433" s="159" t="str">
        <f t="shared" si="36"/>
        <v/>
      </c>
      <c r="P433" s="63"/>
    </row>
    <row r="434" spans="1:16" hidden="1">
      <c r="A434" s="151" t="s">
        <v>37</v>
      </c>
      <c r="B434" s="34" t="s">
        <v>313</v>
      </c>
      <c r="C434" s="40" t="s">
        <v>139</v>
      </c>
      <c r="D434" s="34" t="s">
        <v>98</v>
      </c>
      <c r="E434" s="257">
        <f>Intentionally_produced_MPs!N140</f>
        <v>6.6532165485482164E-3</v>
      </c>
      <c r="F434" s="232">
        <v>1</v>
      </c>
      <c r="G434" s="40"/>
      <c r="H434" s="29">
        <v>3</v>
      </c>
      <c r="I434" s="9">
        <v>2</v>
      </c>
      <c r="J434" s="9">
        <v>3</v>
      </c>
      <c r="K434" s="9">
        <v>3</v>
      </c>
      <c r="L434" s="9">
        <v>3</v>
      </c>
      <c r="M434" s="9">
        <v>3</v>
      </c>
      <c r="N434" s="185">
        <f t="shared" si="35"/>
        <v>1.2132328390150593</v>
      </c>
      <c r="O434" s="159">
        <f t="shared" si="36"/>
        <v>1.1713319510247036</v>
      </c>
      <c r="P434" s="63"/>
    </row>
    <row r="435" spans="1:16" hidden="1">
      <c r="A435" s="151" t="s">
        <v>175</v>
      </c>
      <c r="B435" s="34" t="s">
        <v>184</v>
      </c>
      <c r="C435" s="40" t="s">
        <v>139</v>
      </c>
      <c r="D435" s="34" t="s">
        <v>139</v>
      </c>
      <c r="E435" s="257">
        <v>0</v>
      </c>
      <c r="F435" s="232">
        <v>1</v>
      </c>
      <c r="G435" s="40" t="s">
        <v>157</v>
      </c>
      <c r="H435" s="29"/>
      <c r="I435" s="9"/>
      <c r="J435" s="9"/>
      <c r="K435" s="9"/>
      <c r="L435" s="9"/>
      <c r="M435" s="9"/>
      <c r="N435" s="185" t="str">
        <f t="shared" si="35"/>
        <v/>
      </c>
      <c r="O435" s="159" t="str">
        <f t="shared" si="36"/>
        <v/>
      </c>
      <c r="P435" s="63"/>
    </row>
    <row r="436" spans="1:16" hidden="1">
      <c r="A436" s="151" t="s">
        <v>175</v>
      </c>
      <c r="B436" s="34" t="s">
        <v>184</v>
      </c>
      <c r="C436" s="40" t="s">
        <v>139</v>
      </c>
      <c r="D436" s="34" t="s">
        <v>139</v>
      </c>
      <c r="E436" s="40">
        <v>0</v>
      </c>
      <c r="F436" s="232">
        <v>1</v>
      </c>
      <c r="G436" s="40" t="s">
        <v>157</v>
      </c>
      <c r="H436" s="29"/>
      <c r="I436" s="9"/>
      <c r="J436" s="9"/>
      <c r="K436" s="9"/>
      <c r="L436" s="9"/>
      <c r="M436" s="9"/>
      <c r="N436" s="185" t="str">
        <f t="shared" si="35"/>
        <v/>
      </c>
      <c r="O436" s="159" t="str">
        <f t="shared" si="36"/>
        <v/>
      </c>
      <c r="P436" s="838"/>
    </row>
    <row r="437" spans="1:16" hidden="1">
      <c r="A437" s="151" t="s">
        <v>175</v>
      </c>
      <c r="B437" s="34" t="s">
        <v>314</v>
      </c>
      <c r="C437" s="40" t="s">
        <v>139</v>
      </c>
      <c r="D437" s="34" t="s">
        <v>139</v>
      </c>
      <c r="E437" s="257">
        <v>1.2999999999999999E-3</v>
      </c>
      <c r="F437" s="232">
        <v>2</v>
      </c>
      <c r="G437" s="40" t="s">
        <v>177</v>
      </c>
      <c r="H437" s="29">
        <v>2</v>
      </c>
      <c r="I437" s="9">
        <v>2</v>
      </c>
      <c r="J437" s="9">
        <v>2</v>
      </c>
      <c r="K437" s="9">
        <v>3</v>
      </c>
      <c r="L437" s="9">
        <v>2</v>
      </c>
      <c r="M437" s="9">
        <v>2</v>
      </c>
      <c r="N437" s="185">
        <f t="shared" si="35"/>
        <v>0.51126068492676302</v>
      </c>
      <c r="O437" s="159">
        <f t="shared" si="36"/>
        <v>0.51126068492676302</v>
      </c>
      <c r="P437" s="63"/>
    </row>
    <row r="438" spans="1:16" hidden="1">
      <c r="A438" s="151" t="s">
        <v>283</v>
      </c>
      <c r="B438" s="34" t="s">
        <v>179</v>
      </c>
      <c r="C438" s="40" t="s">
        <v>139</v>
      </c>
      <c r="D438" s="34" t="s">
        <v>90</v>
      </c>
      <c r="E438" s="257">
        <v>7.5999999999999998E-2</v>
      </c>
      <c r="F438" s="232">
        <v>1</v>
      </c>
      <c r="G438" s="40" t="s">
        <v>315</v>
      </c>
      <c r="H438" s="29">
        <v>2</v>
      </c>
      <c r="I438" s="9">
        <v>2</v>
      </c>
      <c r="J438" s="9">
        <v>3</v>
      </c>
      <c r="K438" s="9">
        <v>3</v>
      </c>
      <c r="L438" s="9">
        <v>1</v>
      </c>
      <c r="M438" s="9">
        <v>2</v>
      </c>
      <c r="N438" s="185">
        <f t="shared" si="35"/>
        <v>0.59189702474662764</v>
      </c>
      <c r="O438" s="159">
        <f t="shared" si="36"/>
        <v>0.59189702474662764</v>
      </c>
      <c r="P438" s="63"/>
    </row>
    <row r="439" spans="1:16" hidden="1">
      <c r="A439" s="151" t="s">
        <v>175</v>
      </c>
      <c r="B439" s="34" t="s">
        <v>314</v>
      </c>
      <c r="C439" s="40" t="s">
        <v>139</v>
      </c>
      <c r="D439" s="34" t="s">
        <v>139</v>
      </c>
      <c r="E439" s="257">
        <v>1.47E-2</v>
      </c>
      <c r="F439" s="232">
        <v>2</v>
      </c>
      <c r="G439" s="40" t="s">
        <v>316</v>
      </c>
      <c r="H439" s="29">
        <v>2</v>
      </c>
      <c r="I439" s="9">
        <v>2</v>
      </c>
      <c r="J439" s="9">
        <v>2</v>
      </c>
      <c r="K439" s="9">
        <v>3</v>
      </c>
      <c r="L439" s="9">
        <v>2</v>
      </c>
      <c r="M439" s="9">
        <v>2</v>
      </c>
      <c r="N439" s="185">
        <f t="shared" si="35"/>
        <v>0.51126068492676302</v>
      </c>
      <c r="O439" s="159">
        <f t="shared" si="36"/>
        <v>0.51126068492676302</v>
      </c>
      <c r="P439" s="63"/>
    </row>
    <row r="440" spans="1:16" hidden="1">
      <c r="A440" s="151" t="s">
        <v>175</v>
      </c>
      <c r="B440" s="34" t="s">
        <v>314</v>
      </c>
      <c r="C440" s="40" t="s">
        <v>139</v>
      </c>
      <c r="D440" s="34" t="s">
        <v>139</v>
      </c>
      <c r="E440" s="40">
        <v>1.2999999999999999E-3</v>
      </c>
      <c r="F440" s="232">
        <v>2</v>
      </c>
      <c r="G440" s="40" t="s">
        <v>317</v>
      </c>
      <c r="H440" s="29">
        <v>2</v>
      </c>
      <c r="I440" s="9">
        <v>2</v>
      </c>
      <c r="J440" s="9">
        <v>2</v>
      </c>
      <c r="K440" s="9">
        <v>3</v>
      </c>
      <c r="L440" s="9">
        <v>2</v>
      </c>
      <c r="M440" s="9">
        <v>2</v>
      </c>
      <c r="N440" s="185">
        <f t="shared" si="35"/>
        <v>0.51126068492676302</v>
      </c>
      <c r="O440" s="159">
        <f t="shared" si="36"/>
        <v>0.51126068492676302</v>
      </c>
      <c r="P440" s="838"/>
    </row>
    <row r="441" spans="1:16" hidden="1">
      <c r="A441" s="151" t="s">
        <v>175</v>
      </c>
      <c r="B441" s="34" t="s">
        <v>314</v>
      </c>
      <c r="C441" s="40" t="s">
        <v>139</v>
      </c>
      <c r="D441" s="34" t="s">
        <v>139</v>
      </c>
      <c r="E441" s="40">
        <v>1.47E-2</v>
      </c>
      <c r="F441" s="232">
        <v>2</v>
      </c>
      <c r="G441" s="40" t="s">
        <v>318</v>
      </c>
      <c r="H441" s="29">
        <v>2</v>
      </c>
      <c r="I441" s="9">
        <v>2</v>
      </c>
      <c r="J441" s="9">
        <v>2</v>
      </c>
      <c r="K441" s="9">
        <v>3</v>
      </c>
      <c r="L441" s="9">
        <v>2</v>
      </c>
      <c r="M441" s="9">
        <v>2</v>
      </c>
      <c r="N441" s="185">
        <f t="shared" si="35"/>
        <v>0.51126068492676302</v>
      </c>
      <c r="O441" s="159">
        <f t="shared" si="36"/>
        <v>0.51126068492676302</v>
      </c>
      <c r="P441" s="838"/>
    </row>
    <row r="442" spans="1:16" hidden="1">
      <c r="A442" s="853" t="s">
        <v>223</v>
      </c>
      <c r="B442" s="854" t="s">
        <v>179</v>
      </c>
      <c r="C442" s="855" t="s">
        <v>182</v>
      </c>
      <c r="D442" s="854" t="s">
        <v>139</v>
      </c>
      <c r="E442" s="856" t="s">
        <v>150</v>
      </c>
      <c r="F442" s="857">
        <v>1</v>
      </c>
      <c r="G442" s="855"/>
      <c r="H442" s="821"/>
      <c r="I442" s="639"/>
      <c r="J442" s="639"/>
      <c r="K442" s="639" t="str">
        <f>IF( OR( ISBLANK(#REF!),ISBLANK(G442), ISBLANK(#REF!), ISBLANK(H442), ISBLANK(J442) ), "", 1.5*SQRT(   EXP(2.21*(#REF!-1)) + EXP(2.21*(G442-1)) + EXP(2.21*(#REF!-1)) + EXP(2.21*(H442-1)) + EXP(2.21*J442)   )/100 )</f>
        <v/>
      </c>
      <c r="L442" s="639" t="s">
        <v>249</v>
      </c>
      <c r="M442" s="639"/>
      <c r="N442" s="830" t="str">
        <f t="shared" si="35"/>
        <v/>
      </c>
      <c r="O442" s="831" t="str">
        <f t="shared" si="36"/>
        <v/>
      </c>
      <c r="P442" s="838"/>
    </row>
    <row r="443" spans="1:16" hidden="1">
      <c r="A443" s="853" t="s">
        <v>223</v>
      </c>
      <c r="B443" s="854" t="s">
        <v>179</v>
      </c>
      <c r="C443" s="855" t="s">
        <v>180</v>
      </c>
      <c r="D443" s="854" t="s">
        <v>139</v>
      </c>
      <c r="E443" s="856" t="s">
        <v>150</v>
      </c>
      <c r="F443" s="857">
        <v>1</v>
      </c>
      <c r="G443" s="855"/>
      <c r="H443" s="821"/>
      <c r="I443" s="639"/>
      <c r="J443" s="639"/>
      <c r="K443" s="639" t="str">
        <f>IF( OR( ISBLANK(#REF!),ISBLANK(G443), ISBLANK(#REF!), ISBLANK(H443), ISBLANK(J443) ), "", 1.5*SQRT(   EXP(2.21*(#REF!-1)) + EXP(2.21*(G443-1)) + EXP(2.21*(#REF!-1)) + EXP(2.21*(H443-1)) + EXP(2.21*J443)   )/100 )</f>
        <v/>
      </c>
      <c r="L443" s="639" t="s">
        <v>249</v>
      </c>
      <c r="M443" s="639"/>
      <c r="N443" s="830" t="str">
        <f t="shared" si="35"/>
        <v/>
      </c>
      <c r="O443" s="831" t="str">
        <f t="shared" si="36"/>
        <v/>
      </c>
      <c r="P443" s="838"/>
    </row>
    <row r="444" spans="1:16" hidden="1">
      <c r="A444" s="853" t="s">
        <v>223</v>
      </c>
      <c r="B444" s="854" t="s">
        <v>184</v>
      </c>
      <c r="C444" s="855" t="s">
        <v>182</v>
      </c>
      <c r="D444" s="854" t="s">
        <v>139</v>
      </c>
      <c r="E444" s="856">
        <v>0</v>
      </c>
      <c r="F444" s="857">
        <v>2</v>
      </c>
      <c r="G444" s="855" t="s">
        <v>319</v>
      </c>
      <c r="H444" s="821"/>
      <c r="I444" s="639"/>
      <c r="J444" s="639"/>
      <c r="K444" s="639"/>
      <c r="L444" s="639"/>
      <c r="M444" s="639"/>
      <c r="N444" s="830" t="str">
        <f t="shared" si="35"/>
        <v/>
      </c>
      <c r="O444" s="831" t="str">
        <f t="shared" si="36"/>
        <v/>
      </c>
      <c r="P444" s="838"/>
    </row>
    <row r="445" spans="1:16" hidden="1">
      <c r="A445" s="151" t="s">
        <v>283</v>
      </c>
      <c r="B445" s="34" t="s">
        <v>179</v>
      </c>
      <c r="C445" s="40" t="s">
        <v>139</v>
      </c>
      <c r="D445" s="34" t="s">
        <v>91</v>
      </c>
      <c r="E445" s="257">
        <v>0.03</v>
      </c>
      <c r="F445" s="232">
        <v>1</v>
      </c>
      <c r="G445" s="40" t="s">
        <v>255</v>
      </c>
      <c r="H445" s="29">
        <v>1</v>
      </c>
      <c r="I445" s="9">
        <v>2</v>
      </c>
      <c r="J445" s="9">
        <v>3</v>
      </c>
      <c r="K445" s="9">
        <v>1</v>
      </c>
      <c r="L445" s="9">
        <v>1</v>
      </c>
      <c r="M445" s="9">
        <v>2</v>
      </c>
      <c r="N445" s="185">
        <f t="shared" si="35"/>
        <v>0.47802211380704585</v>
      </c>
      <c r="O445" s="159">
        <f t="shared" si="36"/>
        <v>0.48935255543384243</v>
      </c>
      <c r="P445" s="63"/>
    </row>
    <row r="446" spans="1:16" hidden="1">
      <c r="A446" s="853" t="s">
        <v>223</v>
      </c>
      <c r="B446" s="854" t="s">
        <v>184</v>
      </c>
      <c r="C446" s="855" t="s">
        <v>182</v>
      </c>
      <c r="D446" s="854" t="s">
        <v>139</v>
      </c>
      <c r="E446" s="856">
        <f>1-E444</f>
        <v>1</v>
      </c>
      <c r="F446" s="857">
        <v>2</v>
      </c>
      <c r="G446" s="855" t="s">
        <v>320</v>
      </c>
      <c r="H446" s="821"/>
      <c r="I446" s="639"/>
      <c r="J446" s="639"/>
      <c r="K446" s="639"/>
      <c r="L446" s="639"/>
      <c r="M446" s="639"/>
      <c r="N446" s="830" t="str">
        <f t="shared" si="35"/>
        <v/>
      </c>
      <c r="O446" s="831" t="str">
        <f t="shared" si="36"/>
        <v/>
      </c>
      <c r="P446" s="838"/>
    </row>
    <row r="447" spans="1:16" hidden="1">
      <c r="A447" s="151" t="s">
        <v>112</v>
      </c>
      <c r="B447" s="34" t="s">
        <v>241</v>
      </c>
      <c r="C447" s="40" t="s">
        <v>139</v>
      </c>
      <c r="D447" s="34" t="s">
        <v>95</v>
      </c>
      <c r="E447" s="257">
        <v>0</v>
      </c>
      <c r="F447" s="232">
        <v>1</v>
      </c>
      <c r="G447" s="40"/>
      <c r="H447" s="29"/>
      <c r="I447" s="9"/>
      <c r="J447" s="9"/>
      <c r="K447" s="9"/>
      <c r="L447" s="9"/>
      <c r="M447" s="9"/>
      <c r="N447" s="185" t="str">
        <f t="shared" si="35"/>
        <v/>
      </c>
      <c r="O447" s="159" t="str">
        <f t="shared" si="36"/>
        <v/>
      </c>
      <c r="P447" s="63"/>
    </row>
    <row r="448" spans="1:16" hidden="1">
      <c r="A448" s="151" t="s">
        <v>112</v>
      </c>
      <c r="B448" s="34" t="s">
        <v>241</v>
      </c>
      <c r="C448" s="40" t="s">
        <v>139</v>
      </c>
      <c r="D448" s="34" t="s">
        <v>99</v>
      </c>
      <c r="E448" s="257">
        <v>0</v>
      </c>
      <c r="F448" s="232">
        <v>1</v>
      </c>
      <c r="G448" s="40"/>
      <c r="H448" s="29"/>
      <c r="I448" s="9"/>
      <c r="J448" s="9"/>
      <c r="K448" s="9"/>
      <c r="L448" s="9"/>
      <c r="M448" s="9"/>
      <c r="N448" s="185" t="str">
        <f t="shared" si="35"/>
        <v/>
      </c>
      <c r="O448" s="159" t="str">
        <f t="shared" si="36"/>
        <v/>
      </c>
      <c r="P448" s="63"/>
    </row>
    <row r="449" spans="1:868" hidden="1">
      <c r="A449" s="151" t="s">
        <v>204</v>
      </c>
      <c r="B449" s="34" t="s">
        <v>321</v>
      </c>
      <c r="C449" s="40" t="s">
        <v>139</v>
      </c>
      <c r="D449" s="34" t="s">
        <v>139</v>
      </c>
      <c r="E449" s="257">
        <v>0.33</v>
      </c>
      <c r="F449" s="232">
        <v>2</v>
      </c>
      <c r="G449" s="40" t="s">
        <v>322</v>
      </c>
      <c r="H449" s="29">
        <v>2</v>
      </c>
      <c r="I449" s="9"/>
      <c r="J449" s="9">
        <v>1</v>
      </c>
      <c r="K449" s="9">
        <v>3</v>
      </c>
      <c r="L449" s="9">
        <v>1</v>
      </c>
      <c r="M449" s="9">
        <v>2</v>
      </c>
      <c r="N449" s="185">
        <f t="shared" si="35"/>
        <v>0.48935255543384243</v>
      </c>
      <c r="O449" s="159" t="str">
        <f t="shared" si="36"/>
        <v/>
      </c>
      <c r="P449" s="63"/>
    </row>
    <row r="450" spans="1:868" hidden="1">
      <c r="A450" s="151" t="s">
        <v>323</v>
      </c>
      <c r="B450" s="34" t="s">
        <v>321</v>
      </c>
      <c r="C450" s="40" t="s">
        <v>139</v>
      </c>
      <c r="D450" s="34" t="s">
        <v>139</v>
      </c>
      <c r="E450" s="257">
        <v>0.15</v>
      </c>
      <c r="F450" s="232">
        <v>2</v>
      </c>
      <c r="G450" s="40" t="s">
        <v>324</v>
      </c>
      <c r="H450" s="29">
        <v>2</v>
      </c>
      <c r="I450" s="9"/>
      <c r="J450" s="9">
        <v>3</v>
      </c>
      <c r="K450" s="9">
        <v>3</v>
      </c>
      <c r="L450" s="9">
        <v>1</v>
      </c>
      <c r="M450" s="9">
        <v>2</v>
      </c>
      <c r="N450" s="185">
        <f t="shared" si="35"/>
        <v>0.59189702474662764</v>
      </c>
      <c r="O450" s="159" t="str">
        <f t="shared" si="36"/>
        <v/>
      </c>
      <c r="P450" s="63"/>
    </row>
    <row r="451" spans="1:868" hidden="1">
      <c r="A451" s="151" t="s">
        <v>204</v>
      </c>
      <c r="B451" s="34" t="s">
        <v>325</v>
      </c>
      <c r="C451" s="40" t="s">
        <v>139</v>
      </c>
      <c r="D451" s="34" t="s">
        <v>139</v>
      </c>
      <c r="E451" s="257">
        <v>0.16</v>
      </c>
      <c r="F451" s="232">
        <v>2</v>
      </c>
      <c r="G451" s="40" t="s">
        <v>322</v>
      </c>
      <c r="H451" s="29">
        <v>2</v>
      </c>
      <c r="I451" s="9"/>
      <c r="J451" s="9">
        <v>1</v>
      </c>
      <c r="K451" s="9">
        <v>3</v>
      </c>
      <c r="L451" s="9">
        <v>1</v>
      </c>
      <c r="M451" s="9">
        <v>2</v>
      </c>
      <c r="N451" s="185">
        <f t="shared" si="35"/>
        <v>0.48935255543384243</v>
      </c>
      <c r="O451" s="159" t="str">
        <f t="shared" si="36"/>
        <v/>
      </c>
      <c r="P451" s="63"/>
    </row>
    <row r="452" spans="1:868" hidden="1">
      <c r="A452" s="151" t="s">
        <v>235</v>
      </c>
      <c r="B452" s="34" t="s">
        <v>325</v>
      </c>
      <c r="C452" s="40" t="s">
        <v>139</v>
      </c>
      <c r="D452" s="34" t="s">
        <v>139</v>
      </c>
      <c r="E452" s="257">
        <v>1.2999999999999999E-3</v>
      </c>
      <c r="F452" s="232">
        <v>2</v>
      </c>
      <c r="G452" s="40" t="s">
        <v>177</v>
      </c>
      <c r="H452" s="29">
        <v>1</v>
      </c>
      <c r="I452" s="9"/>
      <c r="J452" s="9">
        <v>1</v>
      </c>
      <c r="K452" s="9">
        <v>1</v>
      </c>
      <c r="L452" s="9">
        <v>1</v>
      </c>
      <c r="M452" s="9">
        <v>3</v>
      </c>
      <c r="N452" s="185">
        <f t="shared" si="35"/>
        <v>1.0141150152164344</v>
      </c>
      <c r="O452" s="159" t="str">
        <f t="shared" si="36"/>
        <v/>
      </c>
      <c r="P452" s="63"/>
    </row>
    <row r="453" spans="1:868" hidden="1">
      <c r="A453" s="151" t="s">
        <v>235</v>
      </c>
      <c r="B453" s="34" t="s">
        <v>325</v>
      </c>
      <c r="C453" s="40" t="s">
        <v>139</v>
      </c>
      <c r="D453" s="34" t="s">
        <v>139</v>
      </c>
      <c r="E453" s="257">
        <v>1.47E-2</v>
      </c>
      <c r="F453" s="232">
        <v>2</v>
      </c>
      <c r="G453" s="40" t="s">
        <v>316</v>
      </c>
      <c r="H453" s="29">
        <v>1</v>
      </c>
      <c r="I453" s="9"/>
      <c r="J453" s="9">
        <v>1</v>
      </c>
      <c r="K453" s="9">
        <v>1</v>
      </c>
      <c r="L453" s="9">
        <v>1</v>
      </c>
      <c r="M453" s="9">
        <v>3</v>
      </c>
      <c r="N453" s="185">
        <f t="shared" si="35"/>
        <v>1.0141150152164344</v>
      </c>
      <c r="O453" s="159" t="str">
        <f t="shared" si="36"/>
        <v/>
      </c>
      <c r="P453" s="63"/>
    </row>
    <row r="454" spans="1:868" hidden="1">
      <c r="A454" s="151" t="s">
        <v>326</v>
      </c>
      <c r="B454" s="34" t="s">
        <v>325</v>
      </c>
      <c r="C454" s="40" t="s">
        <v>139</v>
      </c>
      <c r="D454" s="34" t="s">
        <v>139</v>
      </c>
      <c r="E454" s="257">
        <v>0.5</v>
      </c>
      <c r="F454" s="232">
        <v>2</v>
      </c>
      <c r="G454" s="40" t="s">
        <v>327</v>
      </c>
      <c r="H454" s="29">
        <v>2</v>
      </c>
      <c r="I454" s="9"/>
      <c r="J454" s="9">
        <v>1</v>
      </c>
      <c r="K454" s="9">
        <v>3</v>
      </c>
      <c r="L454" s="9">
        <v>2</v>
      </c>
      <c r="M454" s="9">
        <v>2</v>
      </c>
      <c r="N454" s="185">
        <f t="shared" ref="N454:N485" si="37">IF( OR( ISBLANK(H454),ISBLANK(J454), ISBLANK(K454), ISBLANK(L454), ISBLANK(M454) ), "", 1.5*SQRT(   EXP(2.21*(H454-1)) + EXP(2.21*(J454-1)) + EXP(2.21*(K454-1)) + EXP(2.21*(L454-1)) + EXP(2.21*M454)   )/100*2.45 )</f>
        <v>0.50042652380814845</v>
      </c>
      <c r="O454" s="159" t="str">
        <f t="shared" ref="O454:O485" si="38">IF( OR( ISBLANK(I454),ISBLANK(J454), ISBLANK(K454), ISBLANK(L454), ISBLANK(M454) ), "", 1.5*SQRT( EXP(2.21*(I454-1)) + EXP(2.21*(J454-1)) + EXP(2.21*(K454-1)) + EXP(2.21*(L454-1)) + EXP(2.21*M454)   )/100*2.45 )</f>
        <v/>
      </c>
      <c r="P454" s="63" t="s">
        <v>328</v>
      </c>
    </row>
    <row r="455" spans="1:868" s="832" customFormat="1" hidden="1">
      <c r="A455" s="151" t="s">
        <v>326</v>
      </c>
      <c r="B455" s="34" t="s">
        <v>325</v>
      </c>
      <c r="C455" s="40" t="s">
        <v>139</v>
      </c>
      <c r="D455" s="34" t="s">
        <v>139</v>
      </c>
      <c r="E455" s="257">
        <v>0.85</v>
      </c>
      <c r="F455" s="232">
        <v>2</v>
      </c>
      <c r="G455" s="40" t="s">
        <v>329</v>
      </c>
      <c r="H455" s="29">
        <v>2</v>
      </c>
      <c r="I455" s="9"/>
      <c r="J455" s="9">
        <v>2</v>
      </c>
      <c r="K455" s="9">
        <v>3</v>
      </c>
      <c r="L455" s="9">
        <v>2</v>
      </c>
      <c r="M455" s="9">
        <v>2</v>
      </c>
      <c r="N455" s="185">
        <f t="shared" si="37"/>
        <v>0.51126068492676302</v>
      </c>
      <c r="O455" s="159" t="str">
        <f t="shared" si="38"/>
        <v/>
      </c>
      <c r="P455" s="63" t="s">
        <v>330</v>
      </c>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c r="JS455" s="16"/>
      <c r="JT455" s="16"/>
      <c r="JU455" s="16"/>
      <c r="JV455" s="16"/>
      <c r="JW455" s="16"/>
      <c r="JX455" s="16"/>
      <c r="JY455" s="16"/>
      <c r="JZ455" s="16"/>
      <c r="KA455" s="16"/>
      <c r="KB455" s="16"/>
      <c r="KC455" s="16"/>
      <c r="KD455" s="16"/>
      <c r="KE455" s="16"/>
      <c r="KF455" s="16"/>
      <c r="KG455" s="16"/>
      <c r="KH455" s="16"/>
      <c r="KI455" s="16"/>
      <c r="KJ455" s="16"/>
      <c r="KK455" s="16"/>
      <c r="KL455" s="16"/>
      <c r="KM455" s="16"/>
      <c r="KN455" s="16"/>
      <c r="KO455" s="16"/>
      <c r="KP455" s="16"/>
      <c r="KQ455" s="16"/>
      <c r="KR455" s="16"/>
      <c r="KS455" s="16"/>
      <c r="KT455" s="16"/>
      <c r="KU455" s="16"/>
      <c r="KV455" s="16"/>
      <c r="KW455" s="16"/>
      <c r="KX455" s="16"/>
      <c r="KY455" s="16"/>
      <c r="KZ455" s="16"/>
      <c r="LA455" s="16"/>
      <c r="LB455" s="16"/>
      <c r="LC455" s="16"/>
      <c r="LD455" s="16"/>
      <c r="LE455" s="16"/>
      <c r="LF455" s="16"/>
      <c r="LG455" s="16"/>
      <c r="LH455" s="16"/>
      <c r="LI455" s="16"/>
      <c r="LJ455" s="16"/>
      <c r="LK455" s="16"/>
      <c r="LL455" s="16"/>
      <c r="LM455" s="16"/>
      <c r="LN455" s="16"/>
      <c r="LO455" s="16"/>
      <c r="LP455" s="16"/>
      <c r="LQ455" s="16"/>
      <c r="LR455" s="16"/>
      <c r="LS455" s="16"/>
      <c r="LT455" s="16"/>
      <c r="LU455" s="16"/>
      <c r="LV455" s="16"/>
      <c r="LW455" s="16"/>
      <c r="LX455" s="16"/>
      <c r="LY455" s="16"/>
      <c r="LZ455" s="16"/>
      <c r="MA455" s="16"/>
      <c r="MB455" s="16"/>
      <c r="MC455" s="16"/>
      <c r="MD455" s="16"/>
      <c r="ME455" s="16"/>
      <c r="MF455" s="16"/>
      <c r="MG455" s="16"/>
      <c r="MH455" s="16"/>
      <c r="MI455" s="16"/>
      <c r="MJ455" s="16"/>
      <c r="MK455" s="16"/>
      <c r="ML455" s="16"/>
      <c r="MM455" s="16"/>
      <c r="MN455" s="16"/>
      <c r="MO455" s="16"/>
      <c r="MP455" s="16"/>
      <c r="MQ455" s="16"/>
      <c r="MR455" s="16"/>
      <c r="MS455" s="16"/>
      <c r="MT455" s="16"/>
      <c r="MU455" s="16"/>
      <c r="MV455" s="16"/>
      <c r="MW455" s="16"/>
      <c r="MX455" s="16"/>
      <c r="MY455" s="16"/>
      <c r="MZ455" s="16"/>
      <c r="NA455" s="16"/>
      <c r="NB455" s="16"/>
      <c r="NC455" s="16"/>
      <c r="ND455" s="16"/>
      <c r="NE455" s="16"/>
      <c r="NF455" s="16"/>
      <c r="NG455" s="16"/>
      <c r="NH455" s="16"/>
      <c r="NI455" s="16"/>
      <c r="NJ455" s="16"/>
      <c r="NK455" s="16"/>
      <c r="NL455" s="16"/>
      <c r="NM455" s="16"/>
      <c r="NN455" s="16"/>
      <c r="NO455" s="16"/>
      <c r="NP455" s="16"/>
      <c r="NQ455" s="16"/>
      <c r="NR455" s="16"/>
      <c r="NS455" s="16"/>
      <c r="NT455" s="16"/>
      <c r="NU455" s="16"/>
      <c r="NV455" s="16"/>
      <c r="NW455" s="16"/>
      <c r="NX455" s="16"/>
      <c r="NY455" s="16"/>
      <c r="NZ455" s="16"/>
      <c r="OA455" s="16"/>
      <c r="OB455" s="16"/>
      <c r="OC455" s="16"/>
      <c r="OD455" s="16"/>
      <c r="OE455" s="16"/>
      <c r="OF455" s="16"/>
      <c r="OG455" s="16"/>
      <c r="OH455" s="16"/>
      <c r="OI455" s="16"/>
      <c r="OJ455" s="16"/>
      <c r="OK455" s="16"/>
      <c r="OL455" s="16"/>
      <c r="OM455" s="16"/>
      <c r="ON455" s="16"/>
      <c r="OO455" s="16"/>
      <c r="OP455" s="16"/>
      <c r="OQ455" s="16"/>
      <c r="OR455" s="16"/>
      <c r="OS455" s="16"/>
      <c r="OT455" s="16"/>
      <c r="OU455" s="16"/>
      <c r="OV455" s="16"/>
      <c r="OW455" s="16"/>
      <c r="OX455" s="16"/>
      <c r="OY455" s="16"/>
      <c r="OZ455" s="16"/>
      <c r="PA455" s="16"/>
      <c r="PB455" s="16"/>
      <c r="PC455" s="16"/>
      <c r="PD455" s="16"/>
      <c r="PE455" s="16"/>
      <c r="PF455" s="16"/>
      <c r="PG455" s="16"/>
      <c r="PH455" s="16"/>
      <c r="PI455" s="16"/>
      <c r="PJ455" s="16"/>
      <c r="PK455" s="16"/>
      <c r="PL455" s="16"/>
      <c r="PM455" s="16"/>
      <c r="PN455" s="16"/>
      <c r="PO455" s="16"/>
      <c r="PP455" s="16"/>
      <c r="PQ455" s="16"/>
      <c r="PR455" s="16"/>
      <c r="PS455" s="16"/>
      <c r="PT455" s="16"/>
      <c r="PU455" s="16"/>
      <c r="PV455" s="16"/>
      <c r="PW455" s="16"/>
      <c r="PX455" s="16"/>
      <c r="PY455" s="16"/>
      <c r="PZ455" s="16"/>
      <c r="QA455" s="16"/>
      <c r="QB455" s="16"/>
      <c r="QC455" s="16"/>
      <c r="QD455" s="16"/>
      <c r="QE455" s="16"/>
      <c r="QF455" s="16"/>
      <c r="QG455" s="16"/>
      <c r="QH455" s="16"/>
      <c r="QI455" s="16"/>
      <c r="QJ455" s="16"/>
      <c r="QK455" s="16"/>
      <c r="QL455" s="16"/>
      <c r="QM455" s="16"/>
      <c r="QN455" s="16"/>
      <c r="QO455" s="16"/>
      <c r="QP455" s="16"/>
      <c r="QQ455" s="16"/>
      <c r="QR455" s="16"/>
      <c r="QS455" s="16"/>
      <c r="QT455" s="16"/>
      <c r="QU455" s="16"/>
      <c r="QV455" s="16"/>
      <c r="QW455" s="16"/>
      <c r="QX455" s="16"/>
      <c r="QY455" s="16"/>
      <c r="QZ455" s="16"/>
      <c r="RA455" s="16"/>
      <c r="RB455" s="16"/>
      <c r="RC455" s="16"/>
      <c r="RD455" s="16"/>
      <c r="RE455" s="16"/>
      <c r="RF455" s="16"/>
      <c r="RG455" s="16"/>
      <c r="RH455" s="16"/>
      <c r="RI455" s="16"/>
      <c r="RJ455" s="16"/>
      <c r="RK455" s="16"/>
      <c r="RL455" s="16"/>
      <c r="RM455" s="16"/>
      <c r="RN455" s="16"/>
      <c r="RO455" s="16"/>
      <c r="RP455" s="16"/>
      <c r="RQ455" s="16"/>
      <c r="RR455" s="16"/>
      <c r="RS455" s="16"/>
      <c r="RT455" s="16"/>
      <c r="RU455" s="16"/>
      <c r="RV455" s="16"/>
      <c r="RW455" s="16"/>
      <c r="RX455" s="16"/>
      <c r="RY455" s="16"/>
      <c r="RZ455" s="16"/>
      <c r="SA455" s="16"/>
      <c r="SB455" s="16"/>
      <c r="SC455" s="16"/>
      <c r="SD455" s="16"/>
      <c r="SE455" s="16"/>
      <c r="SF455" s="16"/>
      <c r="SG455" s="16"/>
      <c r="SH455" s="16"/>
      <c r="SI455" s="16"/>
      <c r="SJ455" s="16"/>
      <c r="SK455" s="16"/>
      <c r="SL455" s="16"/>
      <c r="SM455" s="16"/>
      <c r="SN455" s="16"/>
      <c r="SO455" s="16"/>
      <c r="SP455" s="16"/>
      <c r="SQ455" s="16"/>
      <c r="SR455" s="16"/>
      <c r="SS455" s="16"/>
      <c r="ST455" s="16"/>
      <c r="SU455" s="16"/>
      <c r="SV455" s="16"/>
      <c r="SW455" s="16"/>
      <c r="SX455" s="16"/>
      <c r="SY455" s="16"/>
      <c r="SZ455" s="16"/>
      <c r="TA455" s="16"/>
      <c r="TB455" s="16"/>
      <c r="TC455" s="16"/>
      <c r="TD455" s="16"/>
      <c r="TE455" s="16"/>
      <c r="TF455" s="16"/>
      <c r="TG455" s="16"/>
      <c r="TH455" s="16"/>
      <c r="TI455" s="16"/>
      <c r="TJ455" s="16"/>
      <c r="TK455" s="16"/>
      <c r="TL455" s="16"/>
      <c r="TM455" s="16"/>
      <c r="TN455" s="16"/>
      <c r="TO455" s="16"/>
      <c r="TP455" s="16"/>
      <c r="TQ455" s="16"/>
      <c r="TR455" s="16"/>
      <c r="TS455" s="16"/>
      <c r="TT455" s="16"/>
      <c r="TU455" s="16"/>
      <c r="TV455" s="16"/>
      <c r="TW455" s="16"/>
      <c r="TX455" s="16"/>
      <c r="TY455" s="16"/>
      <c r="TZ455" s="16"/>
      <c r="UA455" s="16"/>
      <c r="UB455" s="16"/>
      <c r="UC455" s="16"/>
      <c r="UD455" s="16"/>
      <c r="UE455" s="16"/>
      <c r="UF455" s="16"/>
      <c r="UG455" s="16"/>
      <c r="UH455" s="16"/>
      <c r="UI455" s="16"/>
      <c r="UJ455" s="16"/>
      <c r="UK455" s="16"/>
      <c r="UL455" s="16"/>
      <c r="UM455" s="16"/>
      <c r="UN455" s="16"/>
      <c r="UO455" s="16"/>
      <c r="UP455" s="16"/>
      <c r="UQ455" s="16"/>
      <c r="UR455" s="16"/>
      <c r="US455" s="16"/>
      <c r="UT455" s="16"/>
      <c r="UU455" s="16"/>
      <c r="UV455" s="16"/>
      <c r="UW455" s="16"/>
      <c r="UX455" s="16"/>
      <c r="UY455" s="16"/>
      <c r="UZ455" s="16"/>
      <c r="VA455" s="16"/>
      <c r="VB455" s="16"/>
      <c r="VC455" s="16"/>
      <c r="VD455" s="16"/>
      <c r="VE455" s="16"/>
      <c r="VF455" s="16"/>
      <c r="VG455" s="16"/>
      <c r="VH455" s="16"/>
      <c r="VI455" s="16"/>
      <c r="VJ455" s="16"/>
      <c r="VK455" s="16"/>
      <c r="VL455" s="16"/>
      <c r="VM455" s="16"/>
      <c r="VN455" s="16"/>
      <c r="VO455" s="16"/>
      <c r="VP455" s="16"/>
      <c r="VQ455" s="16"/>
      <c r="VR455" s="16"/>
      <c r="VS455" s="16"/>
      <c r="VT455" s="16"/>
      <c r="VU455" s="16"/>
      <c r="VV455" s="16"/>
      <c r="VW455" s="16"/>
      <c r="VX455" s="16"/>
      <c r="VY455" s="16"/>
      <c r="VZ455" s="16"/>
      <c r="WA455" s="16"/>
      <c r="WB455" s="16"/>
      <c r="WC455" s="16"/>
      <c r="WD455" s="16"/>
      <c r="WE455" s="16"/>
      <c r="WF455" s="16"/>
      <c r="WG455" s="16"/>
      <c r="WH455" s="16"/>
      <c r="WI455" s="16"/>
      <c r="WJ455" s="16"/>
      <c r="WK455" s="16"/>
      <c r="WL455" s="16"/>
      <c r="WM455" s="16"/>
      <c r="WN455" s="16"/>
      <c r="WO455" s="16"/>
      <c r="WP455" s="16"/>
      <c r="WQ455" s="16"/>
      <c r="WR455" s="16"/>
      <c r="WS455" s="16"/>
      <c r="WT455" s="16"/>
      <c r="WU455" s="16"/>
      <c r="WV455" s="16"/>
      <c r="WW455" s="16"/>
      <c r="WX455" s="16"/>
      <c r="WY455" s="16"/>
      <c r="WZ455" s="16"/>
      <c r="XA455" s="16"/>
      <c r="XB455" s="16"/>
      <c r="XC455" s="16"/>
      <c r="XD455" s="16"/>
      <c r="XE455" s="16"/>
      <c r="XF455" s="16"/>
      <c r="XG455" s="16"/>
      <c r="XH455" s="16"/>
      <c r="XI455" s="16"/>
      <c r="XJ455" s="16"/>
      <c r="XK455" s="16"/>
      <c r="XL455" s="16"/>
      <c r="XM455" s="16"/>
      <c r="XN455" s="16"/>
      <c r="XO455" s="16"/>
      <c r="XP455" s="16"/>
      <c r="XQ455" s="16"/>
      <c r="XR455" s="16"/>
      <c r="XS455" s="16"/>
      <c r="XT455" s="16"/>
      <c r="XU455" s="16"/>
      <c r="XV455" s="16"/>
      <c r="XW455" s="16"/>
      <c r="XX455" s="16"/>
      <c r="XY455" s="16"/>
      <c r="XZ455" s="16"/>
      <c r="YA455" s="16"/>
      <c r="YB455" s="16"/>
      <c r="YC455" s="16"/>
      <c r="YD455" s="16"/>
      <c r="YE455" s="16"/>
      <c r="YF455" s="16"/>
      <c r="YG455" s="16"/>
      <c r="YH455" s="16"/>
      <c r="YI455" s="16"/>
      <c r="YJ455" s="16"/>
      <c r="YK455" s="16"/>
      <c r="YL455" s="16"/>
      <c r="YM455" s="16"/>
      <c r="YN455" s="16"/>
      <c r="YO455" s="16"/>
      <c r="YP455" s="16"/>
      <c r="YQ455" s="16"/>
      <c r="YR455" s="16"/>
      <c r="YS455" s="16"/>
      <c r="YT455" s="16"/>
      <c r="YU455" s="16"/>
      <c r="YV455" s="16"/>
      <c r="YW455" s="16"/>
      <c r="YX455" s="16"/>
      <c r="YY455" s="16"/>
      <c r="YZ455" s="16"/>
      <c r="ZA455" s="16"/>
      <c r="ZB455" s="16"/>
      <c r="ZC455" s="16"/>
      <c r="ZD455" s="16"/>
      <c r="ZE455" s="16"/>
      <c r="ZF455" s="16"/>
      <c r="ZG455" s="16"/>
      <c r="ZH455" s="16"/>
      <c r="ZI455" s="16"/>
      <c r="ZJ455" s="16"/>
      <c r="ZK455" s="16"/>
      <c r="ZL455" s="16"/>
      <c r="ZM455" s="16"/>
      <c r="ZN455" s="16"/>
      <c r="ZO455" s="16"/>
      <c r="ZP455" s="16"/>
      <c r="ZQ455" s="16"/>
      <c r="ZR455" s="16"/>
      <c r="ZS455" s="16"/>
      <c r="ZT455" s="16"/>
      <c r="ZU455" s="16"/>
      <c r="ZV455" s="16"/>
      <c r="ZW455" s="16"/>
      <c r="ZX455" s="16"/>
      <c r="ZY455" s="16"/>
      <c r="ZZ455" s="16"/>
      <c r="AAA455" s="16"/>
      <c r="AAB455" s="16"/>
      <c r="AAC455" s="16"/>
      <c r="AAD455" s="16"/>
      <c r="AAE455" s="16"/>
      <c r="AAF455" s="16"/>
      <c r="AAG455" s="16"/>
      <c r="AAH455" s="16"/>
      <c r="AAI455" s="16"/>
      <c r="AAJ455" s="16"/>
      <c r="AAK455" s="16"/>
      <c r="AAL455" s="16"/>
      <c r="AAM455" s="16"/>
      <c r="AAN455" s="16"/>
      <c r="AAO455" s="16"/>
      <c r="AAP455" s="16"/>
      <c r="AAQ455" s="16"/>
      <c r="AAR455" s="16"/>
      <c r="AAS455" s="16"/>
      <c r="AAT455" s="16"/>
      <c r="AAU455" s="16"/>
      <c r="AAV455" s="16"/>
      <c r="AAW455" s="16"/>
      <c r="AAX455" s="16"/>
      <c r="AAY455" s="16"/>
      <c r="AAZ455" s="16"/>
      <c r="ABA455" s="16"/>
      <c r="ABB455" s="16"/>
      <c r="ABC455" s="16"/>
      <c r="ABD455" s="16"/>
      <c r="ABE455" s="16"/>
      <c r="ABF455" s="16"/>
      <c r="ABG455" s="16"/>
      <c r="ABH455" s="16"/>
      <c r="ABI455" s="16"/>
      <c r="ABJ455" s="16"/>
      <c r="ABK455" s="16"/>
      <c r="ABL455" s="16"/>
      <c r="ABM455" s="16"/>
      <c r="ABN455" s="16"/>
      <c r="ABO455" s="16"/>
      <c r="ABP455" s="16"/>
      <c r="ABQ455" s="16"/>
      <c r="ABR455" s="16"/>
      <c r="ABS455" s="16"/>
      <c r="ABT455" s="16"/>
      <c r="ABU455" s="16"/>
      <c r="ABV455" s="16"/>
      <c r="ABW455" s="16"/>
      <c r="ABX455" s="16"/>
      <c r="ABY455" s="16"/>
      <c r="ABZ455" s="16"/>
      <c r="ACA455" s="16"/>
      <c r="ACB455" s="16"/>
      <c r="ACC455" s="16"/>
      <c r="ACD455" s="16"/>
      <c r="ACE455" s="16"/>
      <c r="ACF455" s="16"/>
      <c r="ACG455" s="16"/>
      <c r="ACH455" s="16"/>
      <c r="ACI455" s="16"/>
      <c r="ACJ455" s="16"/>
      <c r="ACK455" s="16"/>
      <c r="ACL455" s="16"/>
      <c r="ACM455" s="16"/>
      <c r="ACN455" s="16"/>
      <c r="ACO455" s="16"/>
      <c r="ACP455" s="16"/>
      <c r="ACQ455" s="16"/>
      <c r="ACR455" s="16"/>
      <c r="ACS455" s="16"/>
      <c r="ACT455" s="16"/>
      <c r="ACU455" s="16"/>
      <c r="ACV455" s="16"/>
      <c r="ACW455" s="16"/>
      <c r="ACX455" s="16"/>
      <c r="ACY455" s="16"/>
      <c r="ACZ455" s="16"/>
      <c r="ADA455" s="16"/>
      <c r="ADB455" s="16"/>
      <c r="ADC455" s="16"/>
      <c r="ADD455" s="16"/>
      <c r="ADE455" s="16"/>
      <c r="ADF455" s="16"/>
      <c r="ADG455" s="16"/>
      <c r="ADH455" s="16"/>
      <c r="ADI455" s="16"/>
      <c r="ADJ455" s="16"/>
      <c r="ADK455" s="16"/>
      <c r="ADL455" s="16"/>
      <c r="ADM455" s="16"/>
      <c r="ADN455" s="16"/>
      <c r="ADO455" s="16"/>
      <c r="ADP455" s="16"/>
      <c r="ADQ455" s="16"/>
      <c r="ADR455" s="16"/>
      <c r="ADS455" s="16"/>
      <c r="ADT455" s="16"/>
      <c r="ADU455" s="16"/>
      <c r="ADV455" s="16"/>
      <c r="ADW455" s="16"/>
      <c r="ADX455" s="16"/>
      <c r="ADY455" s="16"/>
      <c r="ADZ455" s="16"/>
      <c r="AEA455" s="16"/>
      <c r="AEB455" s="16"/>
      <c r="AEC455" s="16"/>
      <c r="AED455" s="16"/>
      <c r="AEE455" s="16"/>
      <c r="AEF455" s="16"/>
      <c r="AEG455" s="16"/>
      <c r="AEH455" s="16"/>
      <c r="AEI455" s="16"/>
      <c r="AEJ455" s="16"/>
      <c r="AEK455" s="16"/>
      <c r="AEL455" s="16"/>
      <c r="AEM455" s="16"/>
      <c r="AEN455" s="16"/>
      <c r="AEO455" s="16"/>
      <c r="AEP455" s="16"/>
      <c r="AEQ455" s="16"/>
      <c r="AER455" s="16"/>
      <c r="AES455" s="16"/>
      <c r="AET455" s="16"/>
      <c r="AEU455" s="16"/>
      <c r="AEV455" s="16"/>
      <c r="AEW455" s="16"/>
      <c r="AEX455" s="16"/>
      <c r="AEY455" s="16"/>
      <c r="AEZ455" s="16"/>
      <c r="AFA455" s="16"/>
      <c r="AFB455" s="16"/>
      <c r="AFC455" s="16"/>
      <c r="AFD455" s="16"/>
      <c r="AFE455" s="16"/>
      <c r="AFF455" s="16"/>
      <c r="AFG455" s="16"/>
      <c r="AFH455" s="16"/>
      <c r="AFI455" s="16"/>
      <c r="AFJ455" s="16"/>
      <c r="AFK455" s="16"/>
      <c r="AFL455" s="16"/>
      <c r="AFM455" s="16"/>
      <c r="AFN455" s="16"/>
      <c r="AFO455" s="16"/>
      <c r="AFP455" s="16"/>
      <c r="AFQ455" s="16"/>
      <c r="AFR455" s="16"/>
      <c r="AFS455" s="16"/>
      <c r="AFT455" s="16"/>
      <c r="AFU455" s="16"/>
      <c r="AFV455" s="16"/>
      <c r="AFW455" s="16"/>
      <c r="AFX455" s="16"/>
      <c r="AFY455" s="16"/>
      <c r="AFZ455" s="16"/>
      <c r="AGA455" s="16"/>
      <c r="AGB455" s="16"/>
      <c r="AGC455" s="16"/>
      <c r="AGD455" s="16"/>
      <c r="AGE455" s="16"/>
      <c r="AGF455" s="16"/>
      <c r="AGG455" s="16"/>
      <c r="AGH455" s="16"/>
      <c r="AGI455" s="16"/>
      <c r="AGJ455" s="16"/>
    </row>
    <row r="456" spans="1:868" hidden="1">
      <c r="A456" s="151" t="s">
        <v>236</v>
      </c>
      <c r="B456" s="34" t="s">
        <v>325</v>
      </c>
      <c r="C456" s="40" t="s">
        <v>139</v>
      </c>
      <c r="D456" s="34" t="s">
        <v>139</v>
      </c>
      <c r="E456" s="257">
        <v>1.2999999999999999E-3</v>
      </c>
      <c r="F456" s="232">
        <v>2</v>
      </c>
      <c r="G456" s="40" t="s">
        <v>177</v>
      </c>
      <c r="H456" s="29">
        <v>1</v>
      </c>
      <c r="I456" s="9"/>
      <c r="J456" s="9">
        <v>1</v>
      </c>
      <c r="K456" s="9">
        <v>1</v>
      </c>
      <c r="L456" s="9">
        <v>1</v>
      </c>
      <c r="M456" s="9">
        <v>3</v>
      </c>
      <c r="N456" s="185">
        <f t="shared" si="37"/>
        <v>1.0141150152164344</v>
      </c>
      <c r="O456" s="159" t="str">
        <f t="shared" si="38"/>
        <v/>
      </c>
      <c r="P456" s="63"/>
    </row>
    <row r="457" spans="1:868" hidden="1">
      <c r="A457" s="151" t="s">
        <v>236</v>
      </c>
      <c r="B457" s="34" t="s">
        <v>325</v>
      </c>
      <c r="C457" s="40" t="s">
        <v>139</v>
      </c>
      <c r="D457" s="34" t="s">
        <v>139</v>
      </c>
      <c r="E457" s="257">
        <v>1.47E-2</v>
      </c>
      <c r="F457" s="232">
        <v>2</v>
      </c>
      <c r="G457" s="40" t="s">
        <v>316</v>
      </c>
      <c r="H457" s="29">
        <v>1</v>
      </c>
      <c r="I457" s="9"/>
      <c r="J457" s="9">
        <v>1</v>
      </c>
      <c r="K457" s="9">
        <v>1</v>
      </c>
      <c r="L457" s="9">
        <v>1</v>
      </c>
      <c r="M457" s="9">
        <v>3</v>
      </c>
      <c r="N457" s="185">
        <f t="shared" si="37"/>
        <v>1.0141150152164344</v>
      </c>
      <c r="O457" s="159" t="str">
        <f t="shared" si="38"/>
        <v/>
      </c>
      <c r="P457" s="63"/>
    </row>
    <row r="458" spans="1:868" hidden="1">
      <c r="A458" s="151" t="s">
        <v>237</v>
      </c>
      <c r="B458" s="34" t="s">
        <v>325</v>
      </c>
      <c r="C458" s="40" t="s">
        <v>139</v>
      </c>
      <c r="D458" s="34" t="s">
        <v>139</v>
      </c>
      <c r="E458" s="257">
        <v>1.2999999999999999E-3</v>
      </c>
      <c r="F458" s="232">
        <v>2</v>
      </c>
      <c r="G458" s="40" t="s">
        <v>177</v>
      </c>
      <c r="H458" s="29">
        <v>1</v>
      </c>
      <c r="I458" s="9"/>
      <c r="J458" s="9">
        <v>1</v>
      </c>
      <c r="K458" s="9">
        <v>1</v>
      </c>
      <c r="L458" s="9">
        <v>1</v>
      </c>
      <c r="M458" s="9">
        <v>3</v>
      </c>
      <c r="N458" s="185">
        <f t="shared" si="37"/>
        <v>1.0141150152164344</v>
      </c>
      <c r="O458" s="159" t="str">
        <f t="shared" si="38"/>
        <v/>
      </c>
      <c r="P458" s="63"/>
    </row>
    <row r="459" spans="1:868" hidden="1">
      <c r="A459" s="151" t="s">
        <v>237</v>
      </c>
      <c r="B459" s="34" t="s">
        <v>325</v>
      </c>
      <c r="C459" s="40" t="s">
        <v>139</v>
      </c>
      <c r="D459" s="34" t="s">
        <v>139</v>
      </c>
      <c r="E459" s="257">
        <v>1.47E-2</v>
      </c>
      <c r="F459" s="232">
        <v>2</v>
      </c>
      <c r="G459" s="40" t="s">
        <v>316</v>
      </c>
      <c r="H459" s="29">
        <v>1</v>
      </c>
      <c r="I459" s="9"/>
      <c r="J459" s="9">
        <v>1</v>
      </c>
      <c r="K459" s="9">
        <v>1</v>
      </c>
      <c r="L459" s="9">
        <v>1</v>
      </c>
      <c r="M459" s="9">
        <v>3</v>
      </c>
      <c r="N459" s="185">
        <f t="shared" si="37"/>
        <v>1.0141150152164344</v>
      </c>
      <c r="O459" s="159" t="str">
        <f t="shared" si="38"/>
        <v/>
      </c>
      <c r="P459" s="63"/>
    </row>
    <row r="460" spans="1:868" hidden="1">
      <c r="A460" s="151" t="s">
        <v>183</v>
      </c>
      <c r="B460" s="34" t="s">
        <v>325</v>
      </c>
      <c r="C460" s="40" t="s">
        <v>139</v>
      </c>
      <c r="D460" s="34" t="s">
        <v>139</v>
      </c>
      <c r="E460" s="40">
        <v>1.2999999999999999E-3</v>
      </c>
      <c r="F460" s="232">
        <v>2</v>
      </c>
      <c r="G460" s="40" t="s">
        <v>317</v>
      </c>
      <c r="H460" s="29">
        <v>2</v>
      </c>
      <c r="I460" s="9"/>
      <c r="J460" s="9">
        <v>2</v>
      </c>
      <c r="K460" s="9">
        <v>3</v>
      </c>
      <c r="L460" s="9">
        <v>2</v>
      </c>
      <c r="M460" s="9">
        <v>2</v>
      </c>
      <c r="N460" s="185">
        <f t="shared" si="37"/>
        <v>0.51126068492676302</v>
      </c>
      <c r="O460" s="159" t="str">
        <f t="shared" si="38"/>
        <v/>
      </c>
      <c r="P460" s="838"/>
    </row>
    <row r="461" spans="1:868" hidden="1">
      <c r="A461" s="151" t="s">
        <v>183</v>
      </c>
      <c r="B461" s="34" t="s">
        <v>325</v>
      </c>
      <c r="C461" s="40" t="s">
        <v>139</v>
      </c>
      <c r="D461" s="34" t="s">
        <v>139</v>
      </c>
      <c r="E461" s="40">
        <v>1.47E-2</v>
      </c>
      <c r="F461" s="232">
        <v>2</v>
      </c>
      <c r="G461" s="40" t="s">
        <v>318</v>
      </c>
      <c r="H461" s="29">
        <v>2</v>
      </c>
      <c r="I461" s="9"/>
      <c r="J461" s="9">
        <v>2</v>
      </c>
      <c r="K461" s="9">
        <v>3</v>
      </c>
      <c r="L461" s="9">
        <v>2</v>
      </c>
      <c r="M461" s="9">
        <v>2</v>
      </c>
      <c r="N461" s="185">
        <f t="shared" si="37"/>
        <v>0.51126068492676302</v>
      </c>
      <c r="O461" s="159" t="str">
        <f t="shared" si="38"/>
        <v/>
      </c>
      <c r="P461" s="838"/>
    </row>
    <row r="462" spans="1:868" hidden="1">
      <c r="A462" s="151" t="s">
        <v>204</v>
      </c>
      <c r="B462" s="34" t="s">
        <v>314</v>
      </c>
      <c r="C462" s="40" t="s">
        <v>139</v>
      </c>
      <c r="D462" s="34" t="s">
        <v>139</v>
      </c>
      <c r="E462" s="257">
        <v>0.51</v>
      </c>
      <c r="F462" s="232">
        <v>2</v>
      </c>
      <c r="G462" s="40" t="s">
        <v>322</v>
      </c>
      <c r="H462" s="29">
        <v>2</v>
      </c>
      <c r="I462" s="9"/>
      <c r="J462" s="9">
        <v>1</v>
      </c>
      <c r="K462" s="9">
        <v>3</v>
      </c>
      <c r="L462" s="9">
        <v>1</v>
      </c>
      <c r="M462" s="9">
        <v>2</v>
      </c>
      <c r="N462" s="185">
        <f t="shared" si="37"/>
        <v>0.48935255543384243</v>
      </c>
      <c r="O462" s="159" t="str">
        <f t="shared" si="38"/>
        <v/>
      </c>
      <c r="P462" s="63"/>
    </row>
    <row r="463" spans="1:868" hidden="1">
      <c r="A463" s="853" t="s">
        <v>223</v>
      </c>
      <c r="B463" s="854" t="s">
        <v>184</v>
      </c>
      <c r="C463" s="855" t="s">
        <v>180</v>
      </c>
      <c r="D463" s="854" t="s">
        <v>139</v>
      </c>
      <c r="E463" s="856">
        <v>0</v>
      </c>
      <c r="F463" s="857">
        <v>2</v>
      </c>
      <c r="G463" s="855" t="s">
        <v>331</v>
      </c>
      <c r="H463" s="821"/>
      <c r="I463" s="639"/>
      <c r="J463" s="639"/>
      <c r="K463" s="639"/>
      <c r="L463" s="639"/>
      <c r="M463" s="639"/>
      <c r="N463" s="830" t="str">
        <f t="shared" si="37"/>
        <v/>
      </c>
      <c r="O463" s="831" t="str">
        <f t="shared" si="38"/>
        <v/>
      </c>
      <c r="P463" s="838"/>
    </row>
    <row r="464" spans="1:868" hidden="1">
      <c r="A464" s="151" t="s">
        <v>223</v>
      </c>
      <c r="B464" s="34" t="s">
        <v>176</v>
      </c>
      <c r="C464" s="40" t="s">
        <v>139</v>
      </c>
      <c r="D464" s="34" t="s">
        <v>139</v>
      </c>
      <c r="E464" s="257">
        <v>1E-4</v>
      </c>
      <c r="F464" s="232">
        <v>3</v>
      </c>
      <c r="G464" s="40" t="s">
        <v>332</v>
      </c>
      <c r="H464" s="29">
        <v>2</v>
      </c>
      <c r="I464" s="9">
        <v>2</v>
      </c>
      <c r="J464" s="9">
        <v>1</v>
      </c>
      <c r="K464" s="9">
        <v>1</v>
      </c>
      <c r="L464" s="9">
        <v>1</v>
      </c>
      <c r="M464" s="9">
        <v>3</v>
      </c>
      <c r="N464" s="185">
        <f t="shared" si="37"/>
        <v>1.0195048044558224</v>
      </c>
      <c r="O464" s="159">
        <f t="shared" si="38"/>
        <v>1.0195048044558224</v>
      </c>
      <c r="P464" s="63"/>
    </row>
    <row r="465" spans="1:16" hidden="1">
      <c r="A465" s="853" t="s">
        <v>333</v>
      </c>
      <c r="B465" s="854" t="s">
        <v>179</v>
      </c>
      <c r="C465" s="855" t="s">
        <v>182</v>
      </c>
      <c r="D465" s="854" t="s">
        <v>139</v>
      </c>
      <c r="E465" s="856" t="s">
        <v>150</v>
      </c>
      <c r="F465" s="857">
        <v>1</v>
      </c>
      <c r="G465" s="855"/>
      <c r="H465" s="821"/>
      <c r="I465" s="639"/>
      <c r="J465" s="639"/>
      <c r="K465" s="639" t="str">
        <f>IF( OR( ISBLANK(#REF!),ISBLANK(G465), ISBLANK(#REF!), ISBLANK(H465), ISBLANK(J465) ), "", 1.5*SQRT(   EXP(2.21*(#REF!-1)) + EXP(2.21*(G465-1)) + EXP(2.21*(#REF!-1)) + EXP(2.21*(H465-1)) + EXP(2.21*J465)   )/100 )</f>
        <v/>
      </c>
      <c r="L465" s="639" t="s">
        <v>249</v>
      </c>
      <c r="M465" s="639"/>
      <c r="N465" s="830" t="str">
        <f t="shared" si="37"/>
        <v/>
      </c>
      <c r="O465" s="831" t="str">
        <f t="shared" si="38"/>
        <v/>
      </c>
      <c r="P465" s="838"/>
    </row>
    <row r="466" spans="1:16" hidden="1">
      <c r="A466" s="853" t="s">
        <v>333</v>
      </c>
      <c r="B466" s="854" t="s">
        <v>179</v>
      </c>
      <c r="C466" s="855" t="s">
        <v>180</v>
      </c>
      <c r="D466" s="854" t="s">
        <v>139</v>
      </c>
      <c r="E466" s="856" t="s">
        <v>150</v>
      </c>
      <c r="F466" s="857">
        <v>1</v>
      </c>
      <c r="G466" s="855"/>
      <c r="H466" s="821"/>
      <c r="I466" s="639"/>
      <c r="J466" s="639"/>
      <c r="K466" s="639" t="str">
        <f>IF( OR( ISBLANK(#REF!),ISBLANK(G466), ISBLANK(#REF!), ISBLANK(H466), ISBLANK(J466) ), "", 1.5*SQRT(   EXP(2.21*(#REF!-1)) + EXP(2.21*(G466-1)) + EXP(2.21*(#REF!-1)) + EXP(2.21*(H466-1)) + EXP(2.21*J466)   )/100 )</f>
        <v/>
      </c>
      <c r="L466" s="639" t="s">
        <v>249</v>
      </c>
      <c r="M466" s="639"/>
      <c r="N466" s="830" t="str">
        <f t="shared" si="37"/>
        <v/>
      </c>
      <c r="O466" s="831" t="str">
        <f t="shared" si="38"/>
        <v/>
      </c>
      <c r="P466" s="838"/>
    </row>
    <row r="467" spans="1:16" hidden="1">
      <c r="A467" s="151" t="s">
        <v>334</v>
      </c>
      <c r="B467" s="34" t="s">
        <v>314</v>
      </c>
      <c r="C467" s="40" t="s">
        <v>139</v>
      </c>
      <c r="D467" s="34" t="s">
        <v>139</v>
      </c>
      <c r="E467" s="257">
        <v>0.41463414634146339</v>
      </c>
      <c r="F467" s="232">
        <v>2</v>
      </c>
      <c r="G467" s="40" t="s">
        <v>335</v>
      </c>
      <c r="H467" s="29">
        <v>2</v>
      </c>
      <c r="I467" s="9"/>
      <c r="J467" s="9">
        <v>3</v>
      </c>
      <c r="K467" s="9">
        <v>3</v>
      </c>
      <c r="L467" s="9">
        <v>1</v>
      </c>
      <c r="M467" s="9">
        <v>2</v>
      </c>
      <c r="N467" s="185">
        <f t="shared" si="37"/>
        <v>0.59189702474662764</v>
      </c>
      <c r="O467" s="159" t="str">
        <f t="shared" si="38"/>
        <v/>
      </c>
      <c r="P467" s="63"/>
    </row>
    <row r="468" spans="1:16" hidden="1">
      <c r="A468" s="151" t="s">
        <v>334</v>
      </c>
      <c r="B468" s="34" t="s">
        <v>314</v>
      </c>
      <c r="C468" s="40" t="s">
        <v>139</v>
      </c>
      <c r="D468" s="34" t="s">
        <v>139</v>
      </c>
      <c r="E468" s="257">
        <v>0.70487804878048776</v>
      </c>
      <c r="F468" s="232">
        <v>2</v>
      </c>
      <c r="G468" s="40" t="s">
        <v>335</v>
      </c>
      <c r="H468" s="29">
        <v>2</v>
      </c>
      <c r="I468" s="9"/>
      <c r="J468" s="9">
        <v>3</v>
      </c>
      <c r="K468" s="9">
        <v>3</v>
      </c>
      <c r="L468" s="9">
        <v>1</v>
      </c>
      <c r="M468" s="9">
        <v>2</v>
      </c>
      <c r="N468" s="185">
        <f t="shared" si="37"/>
        <v>0.59189702474662764</v>
      </c>
      <c r="O468" s="159" t="str">
        <f t="shared" si="38"/>
        <v/>
      </c>
      <c r="P468" s="63"/>
    </row>
    <row r="469" spans="1:16" hidden="1">
      <c r="A469" s="151" t="s">
        <v>112</v>
      </c>
      <c r="B469" s="34" t="s">
        <v>336</v>
      </c>
      <c r="C469" s="40" t="s">
        <v>139</v>
      </c>
      <c r="D469" s="34" t="s">
        <v>85</v>
      </c>
      <c r="E469" s="257">
        <v>0</v>
      </c>
      <c r="F469" s="232">
        <v>1</v>
      </c>
      <c r="G469" s="40"/>
      <c r="H469" s="29"/>
      <c r="I469" s="9"/>
      <c r="J469" s="9"/>
      <c r="K469" s="9"/>
      <c r="L469" s="9"/>
      <c r="M469" s="9"/>
      <c r="N469" s="185" t="str">
        <f t="shared" si="37"/>
        <v/>
      </c>
      <c r="O469" s="159" t="str">
        <f t="shared" si="38"/>
        <v/>
      </c>
      <c r="P469" s="63"/>
    </row>
    <row r="470" spans="1:16" hidden="1">
      <c r="A470" s="151" t="s">
        <v>112</v>
      </c>
      <c r="B470" s="34" t="s">
        <v>336</v>
      </c>
      <c r="C470" s="40" t="s">
        <v>139</v>
      </c>
      <c r="D470" s="34" t="s">
        <v>86</v>
      </c>
      <c r="E470" s="257">
        <v>0.39167899730176692</v>
      </c>
      <c r="F470" s="232">
        <v>1</v>
      </c>
      <c r="G470" s="40" t="s">
        <v>163</v>
      </c>
      <c r="H470" s="29">
        <v>2</v>
      </c>
      <c r="I470" s="9">
        <v>2</v>
      </c>
      <c r="J470" s="9">
        <v>2</v>
      </c>
      <c r="K470" s="9">
        <v>2</v>
      </c>
      <c r="L470" s="9">
        <v>1</v>
      </c>
      <c r="M470" s="9">
        <v>2</v>
      </c>
      <c r="N470" s="185">
        <f t="shared" si="37"/>
        <v>0.38795788889711302</v>
      </c>
      <c r="O470" s="159">
        <f t="shared" si="38"/>
        <v>0.38795788889711302</v>
      </c>
      <c r="P470" s="63"/>
    </row>
    <row r="471" spans="1:16" hidden="1">
      <c r="A471" s="151" t="s">
        <v>112</v>
      </c>
      <c r="B471" s="34" t="s">
        <v>336</v>
      </c>
      <c r="C471" s="40" t="s">
        <v>139</v>
      </c>
      <c r="D471" s="34" t="s">
        <v>87</v>
      </c>
      <c r="E471" s="257">
        <v>0</v>
      </c>
      <c r="F471" s="232">
        <v>1</v>
      </c>
      <c r="G471" s="40"/>
      <c r="H471" s="29"/>
      <c r="I471" s="9"/>
      <c r="J471" s="9"/>
      <c r="K471" s="9"/>
      <c r="L471" s="9"/>
      <c r="M471" s="9"/>
      <c r="N471" s="185" t="str">
        <f t="shared" si="37"/>
        <v/>
      </c>
      <c r="O471" s="159" t="str">
        <f t="shared" si="38"/>
        <v/>
      </c>
      <c r="P471" s="63"/>
    </row>
    <row r="472" spans="1:16" hidden="1">
      <c r="A472" s="151" t="s">
        <v>112</v>
      </c>
      <c r="B472" s="34" t="s">
        <v>336</v>
      </c>
      <c r="C472" s="40" t="s">
        <v>139</v>
      </c>
      <c r="D472" s="34" t="s">
        <v>88</v>
      </c>
      <c r="E472" s="257">
        <v>0</v>
      </c>
      <c r="F472" s="232">
        <v>1</v>
      </c>
      <c r="G472" s="40"/>
      <c r="H472" s="29"/>
      <c r="I472" s="9"/>
      <c r="J472" s="9"/>
      <c r="K472" s="9"/>
      <c r="L472" s="9"/>
      <c r="M472" s="9"/>
      <c r="N472" s="185" t="str">
        <f t="shared" si="37"/>
        <v/>
      </c>
      <c r="O472" s="159" t="str">
        <f t="shared" si="38"/>
        <v/>
      </c>
      <c r="P472" s="63"/>
    </row>
    <row r="473" spans="1:16" hidden="1">
      <c r="A473" s="151" t="s">
        <v>112</v>
      </c>
      <c r="B473" s="34" t="s">
        <v>336</v>
      </c>
      <c r="C473" s="40" t="s">
        <v>139</v>
      </c>
      <c r="D473" s="34" t="s">
        <v>89</v>
      </c>
      <c r="E473" s="257">
        <v>0</v>
      </c>
      <c r="F473" s="232">
        <v>1</v>
      </c>
      <c r="G473" s="40"/>
      <c r="H473" s="29"/>
      <c r="I473" s="9"/>
      <c r="J473" s="9"/>
      <c r="K473" s="9"/>
      <c r="L473" s="9"/>
      <c r="M473" s="9"/>
      <c r="N473" s="185" t="str">
        <f t="shared" si="37"/>
        <v/>
      </c>
      <c r="O473" s="159" t="str">
        <f t="shared" si="38"/>
        <v/>
      </c>
      <c r="P473" s="63"/>
    </row>
    <row r="474" spans="1:16" hidden="1">
      <c r="A474" s="151" t="s">
        <v>112</v>
      </c>
      <c r="B474" s="34" t="s">
        <v>336</v>
      </c>
      <c r="C474" s="40" t="s">
        <v>139</v>
      </c>
      <c r="D474" s="34" t="s">
        <v>90</v>
      </c>
      <c r="E474" s="257">
        <v>0</v>
      </c>
      <c r="F474" s="232">
        <v>1</v>
      </c>
      <c r="G474" s="40"/>
      <c r="H474" s="29"/>
      <c r="I474" s="9"/>
      <c r="J474" s="9"/>
      <c r="K474" s="9"/>
      <c r="L474" s="9"/>
      <c r="M474" s="9"/>
      <c r="N474" s="185" t="str">
        <f t="shared" si="37"/>
        <v/>
      </c>
      <c r="O474" s="159" t="str">
        <f t="shared" si="38"/>
        <v/>
      </c>
      <c r="P474" s="63"/>
    </row>
    <row r="475" spans="1:16" hidden="1">
      <c r="A475" s="151" t="s">
        <v>112</v>
      </c>
      <c r="B475" s="34" t="s">
        <v>336</v>
      </c>
      <c r="C475" s="40" t="s">
        <v>139</v>
      </c>
      <c r="D475" s="34" t="s">
        <v>91</v>
      </c>
      <c r="E475" s="257">
        <v>9.4657445223231051E-2</v>
      </c>
      <c r="F475" s="232">
        <v>1</v>
      </c>
      <c r="G475" s="40" t="s">
        <v>163</v>
      </c>
      <c r="H475" s="29">
        <v>2</v>
      </c>
      <c r="I475" s="9">
        <v>2</v>
      </c>
      <c r="J475" s="9">
        <v>2</v>
      </c>
      <c r="K475" s="9">
        <v>2</v>
      </c>
      <c r="L475" s="9">
        <v>1</v>
      </c>
      <c r="M475" s="9">
        <v>2</v>
      </c>
      <c r="N475" s="185">
        <f t="shared" si="37"/>
        <v>0.38795788889711302</v>
      </c>
      <c r="O475" s="159">
        <f t="shared" si="38"/>
        <v>0.38795788889711302</v>
      </c>
      <c r="P475" s="63"/>
    </row>
    <row r="476" spans="1:16" hidden="1">
      <c r="A476" s="151" t="s">
        <v>112</v>
      </c>
      <c r="B476" s="34" t="s">
        <v>336</v>
      </c>
      <c r="C476" s="40" t="s">
        <v>139</v>
      </c>
      <c r="D476" s="34" t="s">
        <v>95</v>
      </c>
      <c r="E476" s="257">
        <v>0</v>
      </c>
      <c r="F476" s="232">
        <v>1</v>
      </c>
      <c r="G476" s="40"/>
      <c r="H476" s="29"/>
      <c r="I476" s="9"/>
      <c r="J476" s="9"/>
      <c r="K476" s="9"/>
      <c r="L476" s="9"/>
      <c r="M476" s="9"/>
      <c r="N476" s="185" t="str">
        <f t="shared" si="37"/>
        <v/>
      </c>
      <c r="O476" s="159" t="str">
        <f t="shared" si="38"/>
        <v/>
      </c>
      <c r="P476" s="63"/>
    </row>
    <row r="477" spans="1:16" hidden="1">
      <c r="A477" s="151" t="s">
        <v>112</v>
      </c>
      <c r="B477" s="34" t="s">
        <v>336</v>
      </c>
      <c r="C477" s="40" t="s">
        <v>139</v>
      </c>
      <c r="D477" s="34" t="s">
        <v>99</v>
      </c>
      <c r="E477" s="257">
        <v>0</v>
      </c>
      <c r="F477" s="232">
        <v>1</v>
      </c>
      <c r="G477" s="40"/>
      <c r="H477" s="29"/>
      <c r="I477" s="9"/>
      <c r="J477" s="9"/>
      <c r="K477" s="9"/>
      <c r="L477" s="9"/>
      <c r="M477" s="9"/>
      <c r="N477" s="185" t="str">
        <f t="shared" si="37"/>
        <v/>
      </c>
      <c r="O477" s="159" t="str">
        <f t="shared" si="38"/>
        <v/>
      </c>
      <c r="P477" s="63"/>
    </row>
    <row r="478" spans="1:16" hidden="1">
      <c r="A478" s="151" t="s">
        <v>37</v>
      </c>
      <c r="B478" s="34" t="s">
        <v>337</v>
      </c>
      <c r="C478" s="40" t="s">
        <v>139</v>
      </c>
      <c r="D478" s="34" t="s">
        <v>85</v>
      </c>
      <c r="E478" s="257">
        <f>Intentionally_produced_MPs!P127</f>
        <v>0</v>
      </c>
      <c r="F478" s="232">
        <v>1</v>
      </c>
      <c r="G478" s="40"/>
      <c r="H478" s="29"/>
      <c r="I478" s="9"/>
      <c r="J478" s="9"/>
      <c r="K478" s="9"/>
      <c r="L478" s="9"/>
      <c r="M478" s="9"/>
      <c r="N478" s="185" t="str">
        <f t="shared" si="37"/>
        <v/>
      </c>
      <c r="O478" s="159" t="str">
        <f t="shared" si="38"/>
        <v/>
      </c>
      <c r="P478" s="63"/>
    </row>
    <row r="479" spans="1:16" hidden="1">
      <c r="A479" s="151" t="s">
        <v>37</v>
      </c>
      <c r="B479" s="34" t="s">
        <v>337</v>
      </c>
      <c r="C479" s="40" t="s">
        <v>139</v>
      </c>
      <c r="D479" s="34" t="s">
        <v>86</v>
      </c>
      <c r="E479" s="257">
        <f>Intentionally_produced_MPs!P128</f>
        <v>0</v>
      </c>
      <c r="F479" s="232">
        <v>1</v>
      </c>
      <c r="G479" s="40"/>
      <c r="H479" s="29"/>
      <c r="I479" s="9"/>
      <c r="J479" s="9"/>
      <c r="K479" s="9"/>
      <c r="L479" s="9"/>
      <c r="M479" s="9"/>
      <c r="N479" s="185" t="str">
        <f t="shared" si="37"/>
        <v/>
      </c>
      <c r="O479" s="159" t="str">
        <f t="shared" si="38"/>
        <v/>
      </c>
      <c r="P479" s="63"/>
    </row>
    <row r="480" spans="1:16" hidden="1">
      <c r="A480" s="151" t="s">
        <v>37</v>
      </c>
      <c r="B480" s="34" t="s">
        <v>337</v>
      </c>
      <c r="C480" s="40" t="s">
        <v>139</v>
      </c>
      <c r="D480" s="34" t="s">
        <v>87</v>
      </c>
      <c r="E480" s="257">
        <f>Intentionally_produced_MPs!P129</f>
        <v>0</v>
      </c>
      <c r="F480" s="232">
        <v>1</v>
      </c>
      <c r="G480" s="40"/>
      <c r="H480" s="29"/>
      <c r="I480" s="9"/>
      <c r="J480" s="9"/>
      <c r="K480" s="9"/>
      <c r="L480" s="9"/>
      <c r="M480" s="9"/>
      <c r="N480" s="185" t="str">
        <f t="shared" si="37"/>
        <v/>
      </c>
      <c r="O480" s="159" t="str">
        <f t="shared" si="38"/>
        <v/>
      </c>
      <c r="P480" s="63"/>
    </row>
    <row r="481" spans="1:16" hidden="1">
      <c r="A481" s="151" t="s">
        <v>37</v>
      </c>
      <c r="B481" s="34" t="s">
        <v>337</v>
      </c>
      <c r="C481" s="40" t="s">
        <v>139</v>
      </c>
      <c r="D481" s="34" t="s">
        <v>88</v>
      </c>
      <c r="E481" s="257">
        <f>Intentionally_produced_MPs!P130</f>
        <v>0</v>
      </c>
      <c r="F481" s="232">
        <v>1</v>
      </c>
      <c r="G481" s="40"/>
      <c r="H481" s="29"/>
      <c r="I481" s="9"/>
      <c r="J481" s="9"/>
      <c r="K481" s="9"/>
      <c r="L481" s="9"/>
      <c r="M481" s="9"/>
      <c r="N481" s="185" t="str">
        <f t="shared" si="37"/>
        <v/>
      </c>
      <c r="O481" s="159" t="str">
        <f t="shared" si="38"/>
        <v/>
      </c>
      <c r="P481" s="63"/>
    </row>
    <row r="482" spans="1:16" hidden="1">
      <c r="A482" s="151" t="s">
        <v>37</v>
      </c>
      <c r="B482" s="34" t="s">
        <v>337</v>
      </c>
      <c r="C482" s="40" t="s">
        <v>139</v>
      </c>
      <c r="D482" s="34" t="s">
        <v>89</v>
      </c>
      <c r="E482" s="257">
        <f>Intentionally_produced_MPs!P131</f>
        <v>0</v>
      </c>
      <c r="F482" s="232">
        <v>1</v>
      </c>
      <c r="G482" s="40"/>
      <c r="H482" s="29"/>
      <c r="I482" s="9"/>
      <c r="J482" s="9"/>
      <c r="K482" s="9"/>
      <c r="L482" s="9"/>
      <c r="M482" s="9"/>
      <c r="N482" s="185" t="str">
        <f t="shared" si="37"/>
        <v/>
      </c>
      <c r="O482" s="159" t="str">
        <f t="shared" si="38"/>
        <v/>
      </c>
      <c r="P482" s="63"/>
    </row>
    <row r="483" spans="1:16" hidden="1">
      <c r="A483" s="151" t="s">
        <v>37</v>
      </c>
      <c r="B483" s="34" t="s">
        <v>337</v>
      </c>
      <c r="C483" s="40" t="s">
        <v>139</v>
      </c>
      <c r="D483" s="34" t="s">
        <v>90</v>
      </c>
      <c r="E483" s="257">
        <f>Intentionally_produced_MPs!P132</f>
        <v>0</v>
      </c>
      <c r="F483" s="232">
        <v>1</v>
      </c>
      <c r="G483" s="40"/>
      <c r="H483" s="29"/>
      <c r="I483" s="9"/>
      <c r="J483" s="9"/>
      <c r="K483" s="9"/>
      <c r="L483" s="9"/>
      <c r="M483" s="9"/>
      <c r="N483" s="185" t="str">
        <f t="shared" si="37"/>
        <v/>
      </c>
      <c r="O483" s="159" t="str">
        <f t="shared" si="38"/>
        <v/>
      </c>
      <c r="P483" s="63"/>
    </row>
    <row r="484" spans="1:16" hidden="1">
      <c r="A484" s="151" t="s">
        <v>37</v>
      </c>
      <c r="B484" s="34" t="s">
        <v>337</v>
      </c>
      <c r="C484" s="40" t="s">
        <v>139</v>
      </c>
      <c r="D484" s="34" t="s">
        <v>91</v>
      </c>
      <c r="E484" s="257">
        <f>Intentionally_produced_MPs!P133</f>
        <v>0</v>
      </c>
      <c r="F484" s="232">
        <v>1</v>
      </c>
      <c r="G484" s="40"/>
      <c r="H484" s="29"/>
      <c r="I484" s="9"/>
      <c r="J484" s="9"/>
      <c r="K484" s="9"/>
      <c r="L484" s="9"/>
      <c r="M484" s="9"/>
      <c r="N484" s="185" t="str">
        <f t="shared" si="37"/>
        <v/>
      </c>
      <c r="O484" s="159" t="str">
        <f t="shared" si="38"/>
        <v/>
      </c>
      <c r="P484" s="63"/>
    </row>
    <row r="485" spans="1:16" hidden="1">
      <c r="A485" s="151" t="s">
        <v>37</v>
      </c>
      <c r="B485" s="34" t="s">
        <v>337</v>
      </c>
      <c r="C485" s="40" t="s">
        <v>139</v>
      </c>
      <c r="D485" s="34" t="s">
        <v>92</v>
      </c>
      <c r="E485" s="257">
        <f>Intentionally_produced_MPs!P134</f>
        <v>0</v>
      </c>
      <c r="F485" s="232">
        <v>1</v>
      </c>
      <c r="G485" s="40"/>
      <c r="H485" s="29"/>
      <c r="I485" s="9"/>
      <c r="J485" s="9"/>
      <c r="K485" s="9"/>
      <c r="L485" s="9"/>
      <c r="M485" s="9"/>
      <c r="N485" s="185" t="str">
        <f t="shared" si="37"/>
        <v/>
      </c>
      <c r="O485" s="159" t="str">
        <f t="shared" si="38"/>
        <v/>
      </c>
      <c r="P485" s="63"/>
    </row>
    <row r="486" spans="1:16" hidden="1">
      <c r="A486" s="151" t="s">
        <v>37</v>
      </c>
      <c r="B486" s="34" t="s">
        <v>337</v>
      </c>
      <c r="C486" s="40" t="s">
        <v>139</v>
      </c>
      <c r="D486" s="34" t="s">
        <v>93</v>
      </c>
      <c r="E486" s="257">
        <f>Intentionally_produced_MPs!P135</f>
        <v>0</v>
      </c>
      <c r="F486" s="232">
        <v>1</v>
      </c>
      <c r="G486" s="40"/>
      <c r="H486" s="29"/>
      <c r="I486" s="9"/>
      <c r="J486" s="9"/>
      <c r="K486" s="9"/>
      <c r="L486" s="9"/>
      <c r="M486" s="9"/>
      <c r="N486" s="185" t="str">
        <f t="shared" ref="N486:N517" si="39">IF( OR( ISBLANK(H486),ISBLANK(J486), ISBLANK(K486), ISBLANK(L486), ISBLANK(M486) ), "", 1.5*SQRT(   EXP(2.21*(H486-1)) + EXP(2.21*(J486-1)) + EXP(2.21*(K486-1)) + EXP(2.21*(L486-1)) + EXP(2.21*M486)   )/100*2.45 )</f>
        <v/>
      </c>
      <c r="O486" s="159" t="str">
        <f t="shared" ref="O486:O517" si="40">IF( OR( ISBLANK(I486),ISBLANK(J486), ISBLANK(K486), ISBLANK(L486), ISBLANK(M486) ), "", 1.5*SQRT( EXP(2.21*(I486-1)) + EXP(2.21*(J486-1)) + EXP(2.21*(K486-1)) + EXP(2.21*(L486-1)) + EXP(2.21*M486)   )/100*2.45 )</f>
        <v/>
      </c>
      <c r="P486" s="63"/>
    </row>
    <row r="487" spans="1:16" hidden="1">
      <c r="A487" s="151" t="s">
        <v>37</v>
      </c>
      <c r="B487" s="34" t="s">
        <v>337</v>
      </c>
      <c r="C487" s="40" t="s">
        <v>139</v>
      </c>
      <c r="D487" s="34" t="s">
        <v>94</v>
      </c>
      <c r="E487" s="257">
        <f>Intentionally_produced_MPs!P136</f>
        <v>0</v>
      </c>
      <c r="F487" s="232">
        <v>1</v>
      </c>
      <c r="G487" s="40"/>
      <c r="H487" s="29"/>
      <c r="I487" s="9"/>
      <c r="J487" s="9"/>
      <c r="K487" s="9"/>
      <c r="L487" s="9"/>
      <c r="M487" s="9"/>
      <c r="N487" s="185" t="str">
        <f t="shared" si="39"/>
        <v/>
      </c>
      <c r="O487" s="159" t="str">
        <f t="shared" si="40"/>
        <v/>
      </c>
      <c r="P487" s="63"/>
    </row>
    <row r="488" spans="1:16" hidden="1">
      <c r="A488" s="151" t="s">
        <v>37</v>
      </c>
      <c r="B488" s="34" t="s">
        <v>337</v>
      </c>
      <c r="C488" s="40" t="s">
        <v>139</v>
      </c>
      <c r="D488" s="34" t="s">
        <v>95</v>
      </c>
      <c r="E488" s="257">
        <f>Intentionally_produced_MPs!P137</f>
        <v>0</v>
      </c>
      <c r="F488" s="232">
        <v>1</v>
      </c>
      <c r="G488" s="40"/>
      <c r="H488" s="29"/>
      <c r="I488" s="9"/>
      <c r="J488" s="9"/>
      <c r="K488" s="9"/>
      <c r="L488" s="9"/>
      <c r="M488" s="9"/>
      <c r="N488" s="185" t="str">
        <f t="shared" si="39"/>
        <v/>
      </c>
      <c r="O488" s="159" t="str">
        <f t="shared" si="40"/>
        <v/>
      </c>
      <c r="P488" s="63"/>
    </row>
    <row r="489" spans="1:16" hidden="1">
      <c r="A489" s="151" t="s">
        <v>37</v>
      </c>
      <c r="B489" s="34" t="s">
        <v>337</v>
      </c>
      <c r="C489" s="40" t="s">
        <v>139</v>
      </c>
      <c r="D489" s="34" t="s">
        <v>96</v>
      </c>
      <c r="E489" s="257">
        <f>Intentionally_produced_MPs!P138</f>
        <v>0</v>
      </c>
      <c r="F489" s="232">
        <v>1</v>
      </c>
      <c r="G489" s="40"/>
      <c r="H489" s="29"/>
      <c r="I489" s="9"/>
      <c r="J489" s="9"/>
      <c r="K489" s="9"/>
      <c r="L489" s="9"/>
      <c r="M489" s="9"/>
      <c r="N489" s="185" t="str">
        <f t="shared" si="39"/>
        <v/>
      </c>
      <c r="O489" s="159" t="str">
        <f t="shared" si="40"/>
        <v/>
      </c>
      <c r="P489" s="63"/>
    </row>
    <row r="490" spans="1:16" hidden="1">
      <c r="A490" s="151" t="s">
        <v>37</v>
      </c>
      <c r="B490" s="34" t="s">
        <v>337</v>
      </c>
      <c r="C490" s="40" t="s">
        <v>139</v>
      </c>
      <c r="D490" s="34" t="s">
        <v>97</v>
      </c>
      <c r="E490" s="257">
        <f>Intentionally_produced_MPs!P139</f>
        <v>0</v>
      </c>
      <c r="F490" s="232">
        <v>1</v>
      </c>
      <c r="G490" s="40"/>
      <c r="H490" s="29"/>
      <c r="I490" s="9"/>
      <c r="J490" s="9"/>
      <c r="K490" s="9"/>
      <c r="L490" s="9"/>
      <c r="M490" s="9"/>
      <c r="N490" s="185" t="str">
        <f t="shared" si="39"/>
        <v/>
      </c>
      <c r="O490" s="159" t="str">
        <f t="shared" si="40"/>
        <v/>
      </c>
      <c r="P490" s="63"/>
    </row>
    <row r="491" spans="1:16" hidden="1">
      <c r="A491" s="151" t="s">
        <v>37</v>
      </c>
      <c r="B491" s="34" t="s">
        <v>337</v>
      </c>
      <c r="C491" s="40" t="s">
        <v>139</v>
      </c>
      <c r="D491" s="34" t="s">
        <v>98</v>
      </c>
      <c r="E491" s="257">
        <f>Intentionally_produced_MPs!P140</f>
        <v>0.14573018486415787</v>
      </c>
      <c r="F491" s="232">
        <v>1</v>
      </c>
      <c r="G491" s="40"/>
      <c r="H491" s="29">
        <v>3</v>
      </c>
      <c r="I491" s="9">
        <v>2</v>
      </c>
      <c r="J491" s="9">
        <v>3</v>
      </c>
      <c r="K491" s="9">
        <v>3</v>
      </c>
      <c r="L491" s="9">
        <v>3</v>
      </c>
      <c r="M491" s="9">
        <v>3</v>
      </c>
      <c r="N491" s="185">
        <f t="shared" si="39"/>
        <v>1.2132328390150593</v>
      </c>
      <c r="O491" s="159">
        <f t="shared" si="40"/>
        <v>1.1713319510247036</v>
      </c>
      <c r="P491" s="63"/>
    </row>
    <row r="492" spans="1:16" hidden="1">
      <c r="A492" s="151" t="s">
        <v>321</v>
      </c>
      <c r="B492" s="34" t="s">
        <v>223</v>
      </c>
      <c r="C492" s="40" t="s">
        <v>139</v>
      </c>
      <c r="D492" s="34" t="s">
        <v>139</v>
      </c>
      <c r="E492" s="257">
        <v>0.1</v>
      </c>
      <c r="F492" s="232">
        <v>1</v>
      </c>
      <c r="G492" s="40" t="s">
        <v>338</v>
      </c>
      <c r="H492" s="29"/>
      <c r="I492" s="9"/>
      <c r="J492" s="9"/>
      <c r="K492" s="9"/>
      <c r="L492" s="9"/>
      <c r="M492" s="9"/>
      <c r="N492" s="185" t="str">
        <f t="shared" si="39"/>
        <v/>
      </c>
      <c r="O492" s="159" t="str">
        <f t="shared" si="40"/>
        <v/>
      </c>
      <c r="P492" s="63" t="s">
        <v>339</v>
      </c>
    </row>
    <row r="493" spans="1:16" hidden="1">
      <c r="A493" s="151" t="s">
        <v>321</v>
      </c>
      <c r="B493" s="34" t="s">
        <v>223</v>
      </c>
      <c r="C493" s="40" t="s">
        <v>139</v>
      </c>
      <c r="D493" s="34" t="s">
        <v>139</v>
      </c>
      <c r="E493" s="257">
        <v>0.9</v>
      </c>
      <c r="F493" s="232">
        <v>1</v>
      </c>
      <c r="G493" s="40" t="s">
        <v>340</v>
      </c>
      <c r="H493" s="29"/>
      <c r="I493" s="9"/>
      <c r="J493" s="9"/>
      <c r="K493" s="9"/>
      <c r="L493" s="9"/>
      <c r="M493" s="9"/>
      <c r="N493" s="185" t="str">
        <f t="shared" si="39"/>
        <v/>
      </c>
      <c r="O493" s="159" t="str">
        <f t="shared" si="40"/>
        <v/>
      </c>
      <c r="P493" s="63" t="s">
        <v>339</v>
      </c>
    </row>
    <row r="494" spans="1:16" hidden="1">
      <c r="A494" s="151" t="s">
        <v>200</v>
      </c>
      <c r="B494" s="34" t="s">
        <v>223</v>
      </c>
      <c r="C494" s="40" t="s">
        <v>139</v>
      </c>
      <c r="D494" s="34" t="s">
        <v>139</v>
      </c>
      <c r="E494" s="257" t="s">
        <v>150</v>
      </c>
      <c r="F494" s="232">
        <v>1</v>
      </c>
      <c r="G494" s="40"/>
      <c r="H494" s="29"/>
      <c r="I494" s="9"/>
      <c r="J494" s="9"/>
      <c r="K494" s="9" t="str">
        <f>IF( OR( ISBLANK(#REF!),ISBLANK(G494), ISBLANK(#REF!), ISBLANK(H494), ISBLANK(J494) ), "", 1.5*SQRT(   EXP(2.21*(#REF!-1)) + EXP(2.21*(G494-1)) + EXP(2.21*(#REF!-1)) + EXP(2.21*(H494-1)) + EXP(2.21*J494)   )/100 )</f>
        <v/>
      </c>
      <c r="L494" s="9" t="str">
        <f>IF( OR( ISBLANK(E494),ISBLANK(G494), ISBLANK(#REF!), ISBLANK(H494), ISBLANK(J494) ), "", 1.5*SQRT(   EXP(2.21*(E494-1)) + EXP(2.21*(G494-1)) + EXP(2.21*(#REF!-1)) + EXP(2.21*(H494-1)) + EXP(2.21*J494)   )/100 )</f>
        <v/>
      </c>
      <c r="M494" s="9"/>
      <c r="N494" s="185" t="str">
        <f t="shared" si="39"/>
        <v/>
      </c>
      <c r="O494" s="159" t="str">
        <f t="shared" si="40"/>
        <v/>
      </c>
      <c r="P494" s="63"/>
    </row>
    <row r="495" spans="1:16" hidden="1">
      <c r="A495" s="151" t="s">
        <v>201</v>
      </c>
      <c r="B495" s="34" t="s">
        <v>223</v>
      </c>
      <c r="C495" s="40" t="s">
        <v>139</v>
      </c>
      <c r="D495" s="34" t="s">
        <v>139</v>
      </c>
      <c r="E495" s="257" t="s">
        <v>150</v>
      </c>
      <c r="F495" s="232">
        <v>1</v>
      </c>
      <c r="G495" s="40"/>
      <c r="H495" s="29"/>
      <c r="I495" s="9"/>
      <c r="J495" s="9"/>
      <c r="K495" s="9" t="str">
        <f>IF( OR( ISBLANK(#REF!),ISBLANK(G495), ISBLANK(#REF!), ISBLANK(H495), ISBLANK(J495) ), "", 1.5*SQRT(   EXP(2.21*(#REF!-1)) + EXP(2.21*(G495-1)) + EXP(2.21*(#REF!-1)) + EXP(2.21*(H495-1)) + EXP(2.21*J495)   )/100 )</f>
        <v/>
      </c>
      <c r="L495" s="9" t="str">
        <f>IF( OR( ISBLANK(E495),ISBLANK(G495), ISBLANK(#REF!), ISBLANK(H495), ISBLANK(J495) ), "", 1.5*SQRT(   EXP(2.21*(E495-1)) + EXP(2.21*(G495-1)) + EXP(2.21*(#REF!-1)) + EXP(2.21*(H495-1)) + EXP(2.21*J495)   )/100 )</f>
        <v/>
      </c>
      <c r="M495" s="9"/>
      <c r="N495" s="185" t="str">
        <f t="shared" si="39"/>
        <v/>
      </c>
      <c r="O495" s="159" t="str">
        <f t="shared" si="40"/>
        <v/>
      </c>
      <c r="P495" s="63"/>
    </row>
    <row r="496" spans="1:16" hidden="1">
      <c r="A496" s="151" t="s">
        <v>202</v>
      </c>
      <c r="B496" s="34" t="s">
        <v>223</v>
      </c>
      <c r="C496" s="40" t="s">
        <v>139</v>
      </c>
      <c r="D496" s="34" t="s">
        <v>139</v>
      </c>
      <c r="E496" s="257" t="s">
        <v>150</v>
      </c>
      <c r="F496" s="232">
        <v>1</v>
      </c>
      <c r="G496" s="40"/>
      <c r="H496" s="29"/>
      <c r="I496" s="9"/>
      <c r="J496" s="9"/>
      <c r="K496" s="9" t="str">
        <f>IF( OR( ISBLANK(#REF!),ISBLANK(G496), ISBLANK(#REF!), ISBLANK(H496), ISBLANK(J496) ), "", 1.5*SQRT(   EXP(2.21*(#REF!-1)) + EXP(2.21*(G496-1)) + EXP(2.21*(#REF!-1)) + EXP(2.21*(H496-1)) + EXP(2.21*J496)   )/100 )</f>
        <v/>
      </c>
      <c r="L496" s="9" t="str">
        <f>IF( OR( ISBLANK(E496),ISBLANK(G496), ISBLANK(#REF!), ISBLANK(H496), ISBLANK(J496) ), "", 1.5*SQRT(   EXP(2.21*(E496-1)) + EXP(2.21*(G496-1)) + EXP(2.21*(#REF!-1)) + EXP(2.21*(H496-1)) + EXP(2.21*J496)   )/100 )</f>
        <v/>
      </c>
      <c r="M496" s="9"/>
      <c r="N496" s="185" t="str">
        <f t="shared" si="39"/>
        <v/>
      </c>
      <c r="O496" s="159" t="str">
        <f t="shared" si="40"/>
        <v/>
      </c>
      <c r="P496" s="63"/>
    </row>
    <row r="497" spans="1:16" hidden="1">
      <c r="A497" s="151" t="s">
        <v>303</v>
      </c>
      <c r="B497" s="34" t="s">
        <v>223</v>
      </c>
      <c r="C497" s="40" t="s">
        <v>139</v>
      </c>
      <c r="D497" s="34" t="s">
        <v>139</v>
      </c>
      <c r="E497" s="257" t="s">
        <v>150</v>
      </c>
      <c r="F497" s="232">
        <v>1</v>
      </c>
      <c r="G497" s="40"/>
      <c r="H497" s="29"/>
      <c r="I497" s="9"/>
      <c r="J497" s="9"/>
      <c r="K497" s="9"/>
      <c r="L497" s="9"/>
      <c r="M497" s="9"/>
      <c r="N497" s="185" t="str">
        <f t="shared" si="39"/>
        <v/>
      </c>
      <c r="O497" s="159" t="str">
        <f t="shared" si="40"/>
        <v/>
      </c>
      <c r="P497" s="63"/>
    </row>
    <row r="498" spans="1:16" hidden="1">
      <c r="A498" s="151" t="s">
        <v>321</v>
      </c>
      <c r="B498" s="34" t="s">
        <v>341</v>
      </c>
      <c r="C498" s="40" t="s">
        <v>139</v>
      </c>
      <c r="D498" s="34" t="s">
        <v>139</v>
      </c>
      <c r="E498" s="257" t="s">
        <v>150</v>
      </c>
      <c r="F498" s="232">
        <v>1</v>
      </c>
      <c r="G498" s="40" t="s">
        <v>342</v>
      </c>
      <c r="H498" s="29"/>
      <c r="I498" s="9"/>
      <c r="J498" s="9"/>
      <c r="K498" s="9"/>
      <c r="L498" s="9"/>
      <c r="M498" s="9"/>
      <c r="N498" s="185" t="str">
        <f t="shared" si="39"/>
        <v/>
      </c>
      <c r="O498" s="159" t="str">
        <f t="shared" si="40"/>
        <v/>
      </c>
      <c r="P498" s="63" t="s">
        <v>339</v>
      </c>
    </row>
    <row r="499" spans="1:16" hidden="1">
      <c r="A499" s="151" t="s">
        <v>321</v>
      </c>
      <c r="B499" s="34" t="s">
        <v>265</v>
      </c>
      <c r="C499" s="40" t="s">
        <v>139</v>
      </c>
      <c r="D499" s="34" t="s">
        <v>139</v>
      </c>
      <c r="E499" s="257">
        <v>1.0200000000000001E-3</v>
      </c>
      <c r="F499" s="232">
        <v>2</v>
      </c>
      <c r="G499" s="40" t="s">
        <v>343</v>
      </c>
      <c r="H499" s="29">
        <v>2</v>
      </c>
      <c r="I499" s="9"/>
      <c r="J499" s="9">
        <v>3</v>
      </c>
      <c r="K499" s="9">
        <v>3</v>
      </c>
      <c r="L499" s="9">
        <v>3</v>
      </c>
      <c r="M499" s="9">
        <v>2</v>
      </c>
      <c r="N499" s="185">
        <f t="shared" si="39"/>
        <v>0.67913051197703389</v>
      </c>
      <c r="O499" s="159" t="str">
        <f t="shared" si="40"/>
        <v/>
      </c>
      <c r="P499" s="63" t="s">
        <v>344</v>
      </c>
    </row>
    <row r="500" spans="1:16" hidden="1">
      <c r="A500" s="151" t="s">
        <v>325</v>
      </c>
      <c r="B500" s="34" t="s">
        <v>223</v>
      </c>
      <c r="C500" s="40" t="s">
        <v>139</v>
      </c>
      <c r="D500" s="34" t="s">
        <v>139</v>
      </c>
      <c r="E500" s="257" t="s">
        <v>150</v>
      </c>
      <c r="F500" s="232">
        <v>1</v>
      </c>
      <c r="G500" s="40"/>
      <c r="H500" s="29"/>
      <c r="I500" s="9"/>
      <c r="J500" s="9"/>
      <c r="K500" s="9"/>
      <c r="L500" s="9"/>
      <c r="M500" s="9"/>
      <c r="N500" s="185" t="str">
        <f t="shared" si="39"/>
        <v/>
      </c>
      <c r="O500" s="159" t="str">
        <f t="shared" si="40"/>
        <v/>
      </c>
      <c r="P500" s="63"/>
    </row>
    <row r="501" spans="1:16" hidden="1">
      <c r="A501" s="151" t="s">
        <v>235</v>
      </c>
      <c r="B501" s="34" t="s">
        <v>223</v>
      </c>
      <c r="C501" s="40" t="s">
        <v>139</v>
      </c>
      <c r="D501" s="34" t="s">
        <v>139</v>
      </c>
      <c r="E501" s="257" t="s">
        <v>150</v>
      </c>
      <c r="F501" s="232">
        <v>1</v>
      </c>
      <c r="G501" s="40"/>
      <c r="H501" s="29"/>
      <c r="I501" s="9"/>
      <c r="J501" s="9"/>
      <c r="K501" s="9"/>
      <c r="L501" s="9"/>
      <c r="M501" s="9"/>
      <c r="N501" s="185" t="str">
        <f t="shared" si="39"/>
        <v/>
      </c>
      <c r="O501" s="159" t="str">
        <f t="shared" si="40"/>
        <v/>
      </c>
      <c r="P501" s="63"/>
    </row>
    <row r="502" spans="1:16" hidden="1">
      <c r="A502" s="151" t="s">
        <v>323</v>
      </c>
      <c r="B502" s="34" t="s">
        <v>223</v>
      </c>
      <c r="C502" s="40" t="s">
        <v>139</v>
      </c>
      <c r="D502" s="34" t="s">
        <v>139</v>
      </c>
      <c r="E502" s="257" t="s">
        <v>150</v>
      </c>
      <c r="F502" s="232">
        <v>1</v>
      </c>
      <c r="G502" s="40"/>
      <c r="H502" s="29"/>
      <c r="I502" s="9"/>
      <c r="J502" s="9"/>
      <c r="K502" s="9"/>
      <c r="L502" s="9"/>
      <c r="M502" s="9"/>
      <c r="N502" s="185" t="str">
        <f t="shared" si="39"/>
        <v/>
      </c>
      <c r="O502" s="159" t="str">
        <f t="shared" si="40"/>
        <v/>
      </c>
      <c r="P502" s="63"/>
    </row>
    <row r="503" spans="1:16" hidden="1">
      <c r="A503" s="151" t="s">
        <v>326</v>
      </c>
      <c r="B503" s="34" t="s">
        <v>223</v>
      </c>
      <c r="C503" s="40" t="s">
        <v>139</v>
      </c>
      <c r="D503" s="34" t="s">
        <v>139</v>
      </c>
      <c r="E503" s="257" t="s">
        <v>150</v>
      </c>
      <c r="F503" s="232">
        <v>1</v>
      </c>
      <c r="G503" s="40"/>
      <c r="H503" s="29"/>
      <c r="I503" s="9"/>
      <c r="J503" s="9"/>
      <c r="K503" s="9"/>
      <c r="L503" s="9"/>
      <c r="M503" s="9"/>
      <c r="N503" s="185" t="str">
        <f t="shared" si="39"/>
        <v/>
      </c>
      <c r="O503" s="159" t="str">
        <f t="shared" si="40"/>
        <v/>
      </c>
      <c r="P503" s="63"/>
    </row>
    <row r="504" spans="1:16" hidden="1">
      <c r="A504" s="151" t="s">
        <v>334</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row>
    <row r="505" spans="1:16" hidden="1">
      <c r="A505" s="151" t="s">
        <v>203</v>
      </c>
      <c r="B505" s="34" t="s">
        <v>223</v>
      </c>
      <c r="C505" s="40" t="s">
        <v>139</v>
      </c>
      <c r="D505" s="34" t="s">
        <v>139</v>
      </c>
      <c r="E505" s="257" t="s">
        <v>150</v>
      </c>
      <c r="F505" s="232">
        <v>1</v>
      </c>
      <c r="G505" s="40"/>
      <c r="H505" s="29"/>
      <c r="I505" s="9"/>
      <c r="J505" s="9"/>
      <c r="K505" s="9" t="str">
        <f>IF( OR( ISBLANK(#REF!),ISBLANK(G505), ISBLANK(#REF!), ISBLANK(H505), ISBLANK(J505) ), "", 1.5*SQRT(   EXP(2.21*(#REF!-1)) + EXP(2.21*(G505-1)) + EXP(2.21*(#REF!-1)) + EXP(2.21*(H505-1)) + EXP(2.21*J505)   )/100 )</f>
        <v/>
      </c>
      <c r="L505" s="9" t="str">
        <f>IF( OR( ISBLANK(E505),ISBLANK(G505), ISBLANK(#REF!), ISBLANK(H505), ISBLANK(J505) ), "", 1.5*SQRT(   EXP(2.21*(E505-1)) + EXP(2.21*(G505-1)) + EXP(2.21*(#REF!-1)) + EXP(2.21*(H505-1)) + EXP(2.21*J505)   )/100 )</f>
        <v/>
      </c>
      <c r="M505" s="9"/>
      <c r="N505" s="185" t="str">
        <f t="shared" si="39"/>
        <v/>
      </c>
      <c r="O505" s="159" t="str">
        <f t="shared" si="40"/>
        <v/>
      </c>
      <c r="P505" s="63"/>
    </row>
    <row r="506" spans="1:16" hidden="1">
      <c r="A506" s="151" t="s">
        <v>236</v>
      </c>
      <c r="B506" s="34" t="s">
        <v>223</v>
      </c>
      <c r="C506" s="40" t="s">
        <v>139</v>
      </c>
      <c r="D506" s="34" t="s">
        <v>139</v>
      </c>
      <c r="E506" s="257" t="s">
        <v>150</v>
      </c>
      <c r="F506" s="232">
        <v>1</v>
      </c>
      <c r="G506" s="40"/>
      <c r="H506" s="29"/>
      <c r="I506" s="9"/>
      <c r="J506" s="9"/>
      <c r="K506" s="9"/>
      <c r="L506" s="9"/>
      <c r="M506" s="9"/>
      <c r="N506" s="185" t="str">
        <f t="shared" si="39"/>
        <v/>
      </c>
      <c r="O506" s="159" t="str">
        <f t="shared" si="40"/>
        <v/>
      </c>
      <c r="P506" s="63"/>
    </row>
    <row r="507" spans="1:16" hidden="1">
      <c r="A507" s="151" t="s">
        <v>237</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row>
    <row r="508" spans="1:16" hidden="1">
      <c r="A508" s="289" t="s">
        <v>345</v>
      </c>
      <c r="B508" s="55" t="s">
        <v>223</v>
      </c>
      <c r="C508" s="262" t="s">
        <v>139</v>
      </c>
      <c r="D508" s="55" t="s">
        <v>139</v>
      </c>
      <c r="E508" s="257">
        <v>1</v>
      </c>
      <c r="F508" s="232">
        <v>1</v>
      </c>
      <c r="G508" s="262" t="s">
        <v>163</v>
      </c>
      <c r="H508" s="29"/>
      <c r="I508" s="9"/>
      <c r="J508" s="9"/>
      <c r="K508" s="9"/>
      <c r="L508" s="9"/>
      <c r="M508" s="9"/>
      <c r="N508" s="185" t="str">
        <f t="shared" si="39"/>
        <v/>
      </c>
      <c r="O508" s="159" t="str">
        <f t="shared" si="40"/>
        <v/>
      </c>
      <c r="P508" s="63"/>
    </row>
    <row r="509" spans="1:16" hidden="1">
      <c r="A509" s="151" t="s">
        <v>234</v>
      </c>
      <c r="B509" s="55" t="s">
        <v>223</v>
      </c>
      <c r="C509" s="262" t="s">
        <v>139</v>
      </c>
      <c r="D509" s="55" t="s">
        <v>139</v>
      </c>
      <c r="E509" s="257" t="s">
        <v>150</v>
      </c>
      <c r="F509" s="232">
        <v>1</v>
      </c>
      <c r="G509" s="262" t="s">
        <v>346</v>
      </c>
      <c r="H509" s="29"/>
      <c r="I509" s="9"/>
      <c r="J509" s="9"/>
      <c r="K509" s="9"/>
      <c r="L509" s="9"/>
      <c r="M509" s="9"/>
      <c r="N509" s="185" t="str">
        <f t="shared" si="39"/>
        <v/>
      </c>
      <c r="O509" s="159" t="str">
        <f t="shared" si="40"/>
        <v/>
      </c>
      <c r="P509" s="63"/>
    </row>
    <row r="510" spans="1:16" hidden="1">
      <c r="A510" s="289" t="s">
        <v>347</v>
      </c>
      <c r="B510" s="55" t="s">
        <v>178</v>
      </c>
      <c r="C510" s="262" t="s">
        <v>139</v>
      </c>
      <c r="D510" s="55" t="s">
        <v>139</v>
      </c>
      <c r="E510" s="257" t="s">
        <v>150</v>
      </c>
      <c r="F510" s="232">
        <v>1</v>
      </c>
      <c r="G510" s="262" t="s">
        <v>163</v>
      </c>
      <c r="H510" s="29"/>
      <c r="I510" s="9"/>
      <c r="J510" s="9"/>
      <c r="K510" s="9"/>
      <c r="L510" s="9"/>
      <c r="M510" s="9"/>
      <c r="N510" s="185" t="str">
        <f t="shared" si="39"/>
        <v/>
      </c>
      <c r="O510" s="159" t="str">
        <f t="shared" si="40"/>
        <v/>
      </c>
      <c r="P510" s="63"/>
    </row>
    <row r="511" spans="1:16" hidden="1">
      <c r="A511" s="289" t="s">
        <v>347</v>
      </c>
      <c r="B511" s="55" t="s">
        <v>245</v>
      </c>
      <c r="C511" s="262" t="s">
        <v>139</v>
      </c>
      <c r="D511" s="55" t="s">
        <v>139</v>
      </c>
      <c r="E511" s="257">
        <v>0.53527000000000002</v>
      </c>
      <c r="F511" s="232">
        <v>1</v>
      </c>
      <c r="G511" s="262" t="s">
        <v>163</v>
      </c>
      <c r="H511" s="29">
        <v>2</v>
      </c>
      <c r="I511" s="9">
        <v>2</v>
      </c>
      <c r="J511" s="9">
        <v>1</v>
      </c>
      <c r="K511" s="9">
        <v>1</v>
      </c>
      <c r="L511" s="9">
        <v>1</v>
      </c>
      <c r="M511" s="9">
        <v>2</v>
      </c>
      <c r="N511" s="185">
        <f t="shared" si="39"/>
        <v>0.35859414261160716</v>
      </c>
      <c r="O511" s="159">
        <f t="shared" si="40"/>
        <v>0.35859414261160716</v>
      </c>
      <c r="P511" s="840" t="s">
        <v>348</v>
      </c>
    </row>
    <row r="512" spans="1:16" hidden="1">
      <c r="A512" s="289" t="s">
        <v>239</v>
      </c>
      <c r="B512" s="55" t="s">
        <v>223</v>
      </c>
      <c r="C512" s="262" t="s">
        <v>139</v>
      </c>
      <c r="D512" s="55" t="s">
        <v>139</v>
      </c>
      <c r="E512" s="257" t="s">
        <v>150</v>
      </c>
      <c r="F512" s="232">
        <v>1</v>
      </c>
      <c r="G512" s="262" t="s">
        <v>346</v>
      </c>
      <c r="H512" s="29"/>
      <c r="I512" s="9"/>
      <c r="J512" s="9"/>
      <c r="K512" s="9"/>
      <c r="L512" s="9"/>
      <c r="M512" s="9"/>
      <c r="N512" s="185" t="str">
        <f t="shared" si="39"/>
        <v/>
      </c>
      <c r="O512" s="159" t="str">
        <f t="shared" si="40"/>
        <v/>
      </c>
      <c r="P512" s="63"/>
    </row>
    <row r="513" spans="1:16" hidden="1">
      <c r="A513" s="289" t="s">
        <v>240</v>
      </c>
      <c r="B513" s="55" t="s">
        <v>223</v>
      </c>
      <c r="C513" s="262" t="s">
        <v>139</v>
      </c>
      <c r="D513" s="55" t="s">
        <v>139</v>
      </c>
      <c r="E513" s="257" t="s">
        <v>150</v>
      </c>
      <c r="F513" s="232">
        <v>1</v>
      </c>
      <c r="G513" s="262" t="s">
        <v>346</v>
      </c>
      <c r="H513" s="29"/>
      <c r="I513" s="9"/>
      <c r="J513" s="9"/>
      <c r="K513" s="9"/>
      <c r="L513" s="9"/>
      <c r="M513" s="9"/>
      <c r="N513" s="185" t="str">
        <f t="shared" si="39"/>
        <v/>
      </c>
      <c r="O513" s="159" t="str">
        <f t="shared" si="40"/>
        <v/>
      </c>
      <c r="P513" s="63"/>
    </row>
    <row r="514" spans="1:16" hidden="1">
      <c r="A514" s="289" t="s">
        <v>241</v>
      </c>
      <c r="B514" s="55" t="s">
        <v>223</v>
      </c>
      <c r="C514" s="262" t="s">
        <v>139</v>
      </c>
      <c r="D514" s="55" t="s">
        <v>139</v>
      </c>
      <c r="E514" s="257" t="s">
        <v>150</v>
      </c>
      <c r="F514" s="232">
        <v>1</v>
      </c>
      <c r="G514" s="262" t="s">
        <v>346</v>
      </c>
      <c r="H514" s="29"/>
      <c r="I514" s="9"/>
      <c r="J514" s="9"/>
      <c r="K514" s="9"/>
      <c r="L514" s="9"/>
      <c r="M514" s="9"/>
      <c r="N514" s="185" t="str">
        <f t="shared" si="39"/>
        <v/>
      </c>
      <c r="O514" s="159" t="str">
        <f t="shared" si="40"/>
        <v/>
      </c>
      <c r="P514" s="63"/>
    </row>
    <row r="515" spans="1:16" hidden="1">
      <c r="A515" s="289" t="s">
        <v>349</v>
      </c>
      <c r="B515" s="55" t="s">
        <v>204</v>
      </c>
      <c r="C515" s="262" t="s">
        <v>139</v>
      </c>
      <c r="D515" s="55" t="s">
        <v>139</v>
      </c>
      <c r="E515" s="257">
        <v>2.7E-4</v>
      </c>
      <c r="F515" s="232">
        <v>2</v>
      </c>
      <c r="G515" s="262" t="s">
        <v>163</v>
      </c>
      <c r="H515" s="29">
        <v>2</v>
      </c>
      <c r="I515" s="9">
        <v>2</v>
      </c>
      <c r="J515" s="9">
        <v>2</v>
      </c>
      <c r="K515" s="9">
        <v>3</v>
      </c>
      <c r="L515" s="9">
        <v>3</v>
      </c>
      <c r="M515" s="9">
        <v>3</v>
      </c>
      <c r="N515" s="185">
        <f t="shared" si="39"/>
        <v>1.1278755061256258</v>
      </c>
      <c r="O515" s="159">
        <f t="shared" si="40"/>
        <v>1.1278755061256258</v>
      </c>
      <c r="P515" s="63"/>
    </row>
    <row r="516" spans="1:16" hidden="1">
      <c r="A516" s="289" t="s">
        <v>349</v>
      </c>
      <c r="B516" s="55" t="s">
        <v>223</v>
      </c>
      <c r="C516" s="262" t="s">
        <v>139</v>
      </c>
      <c r="D516" s="55" t="s">
        <v>139</v>
      </c>
      <c r="E516" s="257" t="s">
        <v>150</v>
      </c>
      <c r="F516" s="232">
        <v>1</v>
      </c>
      <c r="G516" s="262" t="s">
        <v>163</v>
      </c>
      <c r="H516" s="29"/>
      <c r="I516" s="9"/>
      <c r="J516" s="9"/>
      <c r="K516" s="9"/>
      <c r="L516" s="9"/>
      <c r="M516" s="9"/>
      <c r="N516" s="185" t="str">
        <f t="shared" si="39"/>
        <v/>
      </c>
      <c r="O516" s="159" t="str">
        <f t="shared" si="40"/>
        <v/>
      </c>
      <c r="P516" s="63"/>
    </row>
    <row r="517" spans="1:16" hidden="1">
      <c r="A517" s="289" t="s">
        <v>336</v>
      </c>
      <c r="B517" s="55" t="s">
        <v>223</v>
      </c>
      <c r="C517" s="262" t="s">
        <v>139</v>
      </c>
      <c r="D517" s="55" t="s">
        <v>139</v>
      </c>
      <c r="E517" s="257" t="s">
        <v>150</v>
      </c>
      <c r="F517" s="232">
        <v>1</v>
      </c>
      <c r="G517" s="262" t="s">
        <v>346</v>
      </c>
      <c r="H517" s="29"/>
      <c r="I517" s="9"/>
      <c r="J517" s="9"/>
      <c r="K517" s="9"/>
      <c r="L517" s="9"/>
      <c r="M517" s="9"/>
      <c r="N517" s="185" t="str">
        <f t="shared" si="39"/>
        <v/>
      </c>
      <c r="O517" s="159" t="str">
        <f t="shared" si="40"/>
        <v/>
      </c>
      <c r="P517" s="63"/>
    </row>
    <row r="518" spans="1:16" hidden="1">
      <c r="A518" s="151" t="s">
        <v>227</v>
      </c>
      <c r="B518" s="34" t="s">
        <v>333</v>
      </c>
      <c r="C518" s="40" t="s">
        <v>139</v>
      </c>
      <c r="D518" s="34" t="s">
        <v>139</v>
      </c>
      <c r="E518" s="257">
        <v>0.05</v>
      </c>
      <c r="F518" s="232">
        <v>2</v>
      </c>
      <c r="G518" s="40" t="s">
        <v>350</v>
      </c>
      <c r="H518" s="29">
        <v>1</v>
      </c>
      <c r="I518" s="9">
        <v>1</v>
      </c>
      <c r="J518" s="9">
        <v>2</v>
      </c>
      <c r="K518" s="9">
        <v>3</v>
      </c>
      <c r="L518" s="9">
        <v>1</v>
      </c>
      <c r="M518" s="9">
        <v>3</v>
      </c>
      <c r="N518" s="185">
        <f t="shared" ref="N518:N525" si="41">IF( OR( ISBLANK(H518),ISBLANK(J518), ISBLANK(K518), ISBLANK(L518), ISBLANK(M518) ), "", 1.5*SQRT(   EXP(2.21*(H518-1)) + EXP(2.21*(J518-1)) + EXP(2.21*(K518-1)) + EXP(2.21*(L518-1)) + EXP(2.21*M518)   )/100*2.45 )</f>
        <v>1.0725046436742278</v>
      </c>
      <c r="O518" s="159">
        <f t="shared" ref="O518:O525" si="42">IF( OR( ISBLANK(I518),ISBLANK(J518), ISBLANK(K518), ISBLANK(L518), ISBLANK(M518) ), "", 1.5*SQRT( EXP(2.21*(I518-1)) + EXP(2.21*(J518-1)) + EXP(2.21*(K518-1)) + EXP(2.21*(L518-1)) + EXP(2.21*M518)   )/100*2.45 )</f>
        <v>1.0725046436742278</v>
      </c>
      <c r="P518" s="63" t="s">
        <v>351</v>
      </c>
    </row>
    <row r="519" spans="1:16" hidden="1">
      <c r="A519" s="151" t="s">
        <v>311</v>
      </c>
      <c r="B519" s="34" t="s">
        <v>333</v>
      </c>
      <c r="C519" s="515" t="s">
        <v>139</v>
      </c>
      <c r="D519" s="37" t="s">
        <v>139</v>
      </c>
      <c r="E519" s="308">
        <v>0.4</v>
      </c>
      <c r="F519" s="37">
        <v>1</v>
      </c>
      <c r="G519" s="40" t="s">
        <v>352</v>
      </c>
      <c r="H519" s="29">
        <v>2</v>
      </c>
      <c r="I519" s="9">
        <v>2</v>
      </c>
      <c r="J519" s="9">
        <v>1</v>
      </c>
      <c r="K519" s="9">
        <v>1</v>
      </c>
      <c r="L519" s="9">
        <v>1</v>
      </c>
      <c r="M519" s="9">
        <v>1</v>
      </c>
      <c r="N519" s="185">
        <f t="shared" si="41"/>
        <v>0.16933510251023262</v>
      </c>
      <c r="O519" s="159">
        <f t="shared" si="42"/>
        <v>0.16933510251023262</v>
      </c>
      <c r="P519" s="63"/>
    </row>
    <row r="520" spans="1:16" hidden="1">
      <c r="A520" s="151" t="s">
        <v>310</v>
      </c>
      <c r="B520" s="34" t="s">
        <v>333</v>
      </c>
      <c r="C520" s="515" t="s">
        <v>139</v>
      </c>
      <c r="D520" s="37" t="s">
        <v>139</v>
      </c>
      <c r="E520" s="515">
        <v>1</v>
      </c>
      <c r="F520" s="37">
        <v>1</v>
      </c>
      <c r="G520" s="515"/>
      <c r="H520" s="29"/>
      <c r="I520" s="9"/>
      <c r="J520" s="9"/>
      <c r="K520" s="9"/>
      <c r="L520" s="9"/>
      <c r="M520" s="9"/>
      <c r="N520" s="185" t="str">
        <f t="shared" si="41"/>
        <v/>
      </c>
      <c r="O520" s="159" t="str">
        <f t="shared" si="42"/>
        <v/>
      </c>
      <c r="P520" s="63"/>
    </row>
    <row r="521" spans="1:16" hidden="1">
      <c r="A521" s="151" t="s">
        <v>268</v>
      </c>
      <c r="B521" s="34" t="s">
        <v>333</v>
      </c>
      <c r="C521" s="40" t="s">
        <v>139</v>
      </c>
      <c r="D521" s="34" t="s">
        <v>139</v>
      </c>
      <c r="E521" s="257">
        <v>0.05</v>
      </c>
      <c r="F521" s="232">
        <v>2</v>
      </c>
      <c r="G521" s="40" t="s">
        <v>350</v>
      </c>
      <c r="H521" s="29">
        <v>1</v>
      </c>
      <c r="I521" s="9">
        <v>1</v>
      </c>
      <c r="J521" s="9">
        <v>2</v>
      </c>
      <c r="K521" s="9">
        <v>3</v>
      </c>
      <c r="L521" s="9">
        <v>1</v>
      </c>
      <c r="M521" s="9">
        <v>3</v>
      </c>
      <c r="N521" s="185">
        <f t="shared" si="41"/>
        <v>1.0725046436742278</v>
      </c>
      <c r="O521" s="159">
        <f t="shared" si="42"/>
        <v>1.0725046436742278</v>
      </c>
      <c r="P521" s="63" t="s">
        <v>351</v>
      </c>
    </row>
    <row r="522" spans="1:16" hidden="1">
      <c r="A522" s="151" t="s">
        <v>313</v>
      </c>
      <c r="B522" s="34" t="s">
        <v>333</v>
      </c>
      <c r="C522" s="40" t="s">
        <v>139</v>
      </c>
      <c r="D522" s="34" t="s">
        <v>139</v>
      </c>
      <c r="E522" s="257">
        <v>0.05</v>
      </c>
      <c r="F522" s="232">
        <v>2</v>
      </c>
      <c r="G522" s="40" t="s">
        <v>350</v>
      </c>
      <c r="H522" s="29">
        <v>1</v>
      </c>
      <c r="I522" s="9">
        <v>1</v>
      </c>
      <c r="J522" s="9">
        <v>2</v>
      </c>
      <c r="K522" s="9">
        <v>3</v>
      </c>
      <c r="L522" s="9">
        <v>3</v>
      </c>
      <c r="M522" s="9">
        <v>3</v>
      </c>
      <c r="N522" s="185">
        <f t="shared" si="41"/>
        <v>1.123005955058592</v>
      </c>
      <c r="O522" s="159">
        <f t="shared" si="42"/>
        <v>1.123005955058592</v>
      </c>
      <c r="P522" s="63" t="s">
        <v>351</v>
      </c>
    </row>
    <row r="523" spans="1:16" hidden="1">
      <c r="A523" s="151" t="s">
        <v>337</v>
      </c>
      <c r="B523" s="34" t="s">
        <v>333</v>
      </c>
      <c r="C523" s="40" t="s">
        <v>139</v>
      </c>
      <c r="D523" s="34" t="s">
        <v>139</v>
      </c>
      <c r="E523" s="257">
        <v>0.05</v>
      </c>
      <c r="F523" s="232">
        <v>2</v>
      </c>
      <c r="G523" s="40" t="s">
        <v>350</v>
      </c>
      <c r="H523" s="29">
        <v>1</v>
      </c>
      <c r="I523" s="9">
        <v>1</v>
      </c>
      <c r="J523" s="9">
        <v>2</v>
      </c>
      <c r="K523" s="9">
        <v>3</v>
      </c>
      <c r="L523" s="9">
        <v>3</v>
      </c>
      <c r="M523" s="9">
        <v>3</v>
      </c>
      <c r="N523" s="185">
        <f t="shared" si="41"/>
        <v>1.123005955058592</v>
      </c>
      <c r="O523" s="159">
        <f t="shared" si="42"/>
        <v>1.123005955058592</v>
      </c>
      <c r="P523" s="63" t="s">
        <v>351</v>
      </c>
    </row>
    <row r="524" spans="1:16" hidden="1">
      <c r="A524" s="151" t="s">
        <v>353</v>
      </c>
      <c r="B524" s="34" t="s">
        <v>333</v>
      </c>
      <c r="C524" s="40" t="s">
        <v>139</v>
      </c>
      <c r="D524" s="34" t="s">
        <v>139</v>
      </c>
      <c r="E524" s="257">
        <v>0.05</v>
      </c>
      <c r="F524" s="232">
        <v>1</v>
      </c>
      <c r="G524" s="40" t="s">
        <v>350</v>
      </c>
      <c r="H524" s="29">
        <v>2</v>
      </c>
      <c r="I524" s="9">
        <v>1</v>
      </c>
      <c r="J524" s="9">
        <v>2</v>
      </c>
      <c r="K524" s="9">
        <v>3</v>
      </c>
      <c r="L524" s="9">
        <v>1</v>
      </c>
      <c r="M524" s="9">
        <v>3</v>
      </c>
      <c r="N524" s="185">
        <f t="shared" si="41"/>
        <v>1.0776024280428556</v>
      </c>
      <c r="O524" s="159">
        <f t="shared" si="42"/>
        <v>1.0725046436742278</v>
      </c>
      <c r="P524" s="63" t="s">
        <v>351</v>
      </c>
    </row>
    <row r="525" spans="1:16" hidden="1">
      <c r="A525" s="289" t="s">
        <v>238</v>
      </c>
      <c r="B525" s="55" t="s">
        <v>223</v>
      </c>
      <c r="C525" s="262" t="s">
        <v>139</v>
      </c>
      <c r="D525" s="55" t="s">
        <v>139</v>
      </c>
      <c r="E525" s="257" t="s">
        <v>150</v>
      </c>
      <c r="F525" s="232">
        <v>1</v>
      </c>
      <c r="G525" s="262" t="s">
        <v>163</v>
      </c>
      <c r="H525" s="29"/>
      <c r="I525" s="9"/>
      <c r="J525" s="9"/>
      <c r="K525" s="9"/>
      <c r="L525" s="9"/>
      <c r="M525" s="9"/>
      <c r="N525" s="185" t="str">
        <f t="shared" si="41"/>
        <v/>
      </c>
      <c r="O525" s="159" t="str">
        <f t="shared" si="42"/>
        <v/>
      </c>
      <c r="P525" s="63"/>
    </row>
    <row r="526" spans="1:16" hidden="1">
      <c r="A526" s="289" t="s">
        <v>354</v>
      </c>
      <c r="B526" s="55" t="s">
        <v>242</v>
      </c>
      <c r="C526" s="262" t="s">
        <v>139</v>
      </c>
      <c r="D526" s="55" t="s">
        <v>139</v>
      </c>
      <c r="E526" s="257" t="s">
        <v>150</v>
      </c>
      <c r="F526" s="232">
        <v>1</v>
      </c>
      <c r="G526" s="262"/>
      <c r="H526" s="29"/>
      <c r="I526" s="9"/>
      <c r="J526" s="9"/>
      <c r="K526" s="9"/>
      <c r="L526" s="9"/>
      <c r="M526" s="9"/>
      <c r="N526" s="185"/>
      <c r="O526" s="159"/>
      <c r="P526" s="63"/>
    </row>
    <row r="527" spans="1:16" hidden="1">
      <c r="A527" s="289" t="s">
        <v>354</v>
      </c>
      <c r="B527" s="55" t="s">
        <v>355</v>
      </c>
      <c r="C527" s="262" t="s">
        <v>139</v>
      </c>
      <c r="D527" s="55" t="s">
        <v>139</v>
      </c>
      <c r="E527" s="257">
        <v>8.6E-3</v>
      </c>
      <c r="F527" s="232">
        <v>2</v>
      </c>
      <c r="G527" s="262" t="s">
        <v>163</v>
      </c>
      <c r="H527" s="29">
        <v>2</v>
      </c>
      <c r="I527" s="9">
        <v>2</v>
      </c>
      <c r="J527" s="9">
        <v>3</v>
      </c>
      <c r="K527" s="9">
        <v>1</v>
      </c>
      <c r="L527" s="9">
        <v>1</v>
      </c>
      <c r="M527" s="9">
        <v>1</v>
      </c>
      <c r="N527" s="185">
        <f t="shared" ref="N527:N589" si="43">IF( OR( ISBLANK(H527),ISBLANK(J527), ISBLANK(K527), ISBLANK(L527), ISBLANK(M527) ), "", 1.5*SQRT(   EXP(2.21*(H527-1)) + EXP(2.21*(J527-1)) + EXP(2.21*(K527-1)) + EXP(2.21*(L527-1)) + EXP(2.21*M527)   )/100*2.45 )</f>
        <v>0.37356464144298934</v>
      </c>
      <c r="O527" s="159">
        <f t="shared" ref="O527:O589" si="44">IF( OR( ISBLANK(I527),ISBLANK(J527), ISBLANK(K527), ISBLANK(L527), ISBLANK(M527) ), "", 1.5*SQRT( EXP(2.21*(I527-1)) + EXP(2.21*(J527-1)) + EXP(2.21*(K527-1)) + EXP(2.21*(L527-1)) + EXP(2.21*M527)   )/100*2.45 )</f>
        <v>0.37356464144298934</v>
      </c>
      <c r="P527" s="63" t="s">
        <v>356</v>
      </c>
    </row>
    <row r="528" spans="1:16" hidden="1">
      <c r="A528" s="289" t="s">
        <v>354</v>
      </c>
      <c r="B528" s="55" t="s">
        <v>355</v>
      </c>
      <c r="C528" s="262" t="s">
        <v>139</v>
      </c>
      <c r="D528" s="55" t="s">
        <v>139</v>
      </c>
      <c r="E528" s="257">
        <v>1.2999999999999999E-2</v>
      </c>
      <c r="F528" s="232">
        <v>2</v>
      </c>
      <c r="G528" s="262" t="s">
        <v>163</v>
      </c>
      <c r="H528" s="29">
        <v>2</v>
      </c>
      <c r="I528" s="9">
        <v>2</v>
      </c>
      <c r="J528" s="9">
        <v>3</v>
      </c>
      <c r="K528" s="9">
        <v>1</v>
      </c>
      <c r="L528" s="9">
        <v>1</v>
      </c>
      <c r="M528" s="9">
        <v>1</v>
      </c>
      <c r="N528" s="185">
        <f t="shared" si="43"/>
        <v>0.37356464144298934</v>
      </c>
      <c r="O528" s="159">
        <f t="shared" si="44"/>
        <v>0.37356464144298934</v>
      </c>
      <c r="P528" s="63" t="s">
        <v>357</v>
      </c>
    </row>
    <row r="529" spans="1:16" hidden="1">
      <c r="A529" s="289" t="s">
        <v>336</v>
      </c>
      <c r="B529" s="55" t="s">
        <v>204</v>
      </c>
      <c r="C529" s="262" t="s">
        <v>139</v>
      </c>
      <c r="D529" s="55" t="s">
        <v>139</v>
      </c>
      <c r="E529" s="257">
        <v>2.7E-4</v>
      </c>
      <c r="F529" s="232">
        <v>2</v>
      </c>
      <c r="G529" s="262" t="s">
        <v>163</v>
      </c>
      <c r="H529" s="29">
        <v>2</v>
      </c>
      <c r="I529" s="9">
        <v>2</v>
      </c>
      <c r="J529" s="9">
        <v>2</v>
      </c>
      <c r="K529" s="9">
        <v>3</v>
      </c>
      <c r="L529" s="9">
        <v>3</v>
      </c>
      <c r="M529" s="9">
        <v>3</v>
      </c>
      <c r="N529" s="185">
        <f t="shared" si="43"/>
        <v>1.1278755061256258</v>
      </c>
      <c r="O529" s="159">
        <f t="shared" si="44"/>
        <v>1.1278755061256258</v>
      </c>
      <c r="P529" s="63"/>
    </row>
    <row r="530" spans="1:16" hidden="1">
      <c r="A530" s="289" t="s">
        <v>242</v>
      </c>
      <c r="B530" s="55" t="s">
        <v>223</v>
      </c>
      <c r="C530" s="262" t="s">
        <v>139</v>
      </c>
      <c r="D530" s="55" t="s">
        <v>139</v>
      </c>
      <c r="E530" s="257" t="s">
        <v>150</v>
      </c>
      <c r="F530" s="232">
        <v>1</v>
      </c>
      <c r="G530" s="262"/>
      <c r="H530" s="29">
        <v>1</v>
      </c>
      <c r="I530" s="9">
        <v>2</v>
      </c>
      <c r="J530" s="9">
        <v>2</v>
      </c>
      <c r="K530" s="9">
        <v>2</v>
      </c>
      <c r="L530" s="9">
        <v>1</v>
      </c>
      <c r="M530" s="9">
        <v>2</v>
      </c>
      <c r="N530" s="185">
        <f t="shared" si="43"/>
        <v>0.37356464144298934</v>
      </c>
      <c r="O530" s="159">
        <f t="shared" si="44"/>
        <v>0.38795788889711302</v>
      </c>
      <c r="P530" s="63"/>
    </row>
    <row r="531" spans="1:16" hidden="1">
      <c r="A531" s="289" t="s">
        <v>355</v>
      </c>
      <c r="B531" s="55" t="s">
        <v>228</v>
      </c>
      <c r="C531" s="262" t="s">
        <v>139</v>
      </c>
      <c r="D531" s="55" t="s">
        <v>139</v>
      </c>
      <c r="E531" s="257">
        <v>1</v>
      </c>
      <c r="F531" s="232">
        <v>2</v>
      </c>
      <c r="G531" s="262"/>
      <c r="H531" s="29"/>
      <c r="I531" s="9"/>
      <c r="J531" s="9"/>
      <c r="K531" s="9"/>
      <c r="L531" s="9"/>
      <c r="M531" s="9"/>
      <c r="N531" s="185" t="str">
        <f t="shared" si="43"/>
        <v/>
      </c>
      <c r="O531" s="159" t="str">
        <f t="shared" si="44"/>
        <v/>
      </c>
      <c r="P531" s="63"/>
    </row>
    <row r="532" spans="1:16" hidden="1">
      <c r="A532" s="151" t="s">
        <v>121</v>
      </c>
      <c r="B532" s="34" t="s">
        <v>152</v>
      </c>
      <c r="C532" s="40" t="s">
        <v>139</v>
      </c>
      <c r="D532" s="34" t="s">
        <v>85</v>
      </c>
      <c r="E532" s="257">
        <v>0</v>
      </c>
      <c r="F532" s="232">
        <v>1</v>
      </c>
      <c r="G532" s="40"/>
      <c r="H532" s="29"/>
      <c r="I532" s="9"/>
      <c r="J532" s="9"/>
      <c r="K532" s="9"/>
      <c r="L532" s="9"/>
      <c r="M532" s="9"/>
      <c r="N532" s="185" t="str">
        <f t="shared" si="43"/>
        <v/>
      </c>
      <c r="O532" s="159" t="str">
        <f t="shared" si="44"/>
        <v/>
      </c>
      <c r="P532" s="63"/>
    </row>
    <row r="533" spans="1:16" hidden="1">
      <c r="A533" s="151" t="s">
        <v>325</v>
      </c>
      <c r="B533" s="34" t="s">
        <v>176</v>
      </c>
      <c r="C533" s="40" t="s">
        <v>139</v>
      </c>
      <c r="D533" s="34" t="s">
        <v>139</v>
      </c>
      <c r="E533" s="257">
        <v>1.17E-2</v>
      </c>
      <c r="F533" s="232">
        <v>2</v>
      </c>
      <c r="G533" s="40" t="s">
        <v>343</v>
      </c>
      <c r="H533" s="29">
        <v>2</v>
      </c>
      <c r="I533" s="9"/>
      <c r="J533" s="9">
        <v>3</v>
      </c>
      <c r="K533" s="9">
        <v>3</v>
      </c>
      <c r="L533" s="9">
        <v>3</v>
      </c>
      <c r="M533" s="9">
        <v>2</v>
      </c>
      <c r="N533" s="185">
        <f t="shared" si="43"/>
        <v>0.67913051197703389</v>
      </c>
      <c r="O533" s="159" t="str">
        <f t="shared" si="44"/>
        <v/>
      </c>
      <c r="P533" s="63" t="s">
        <v>358</v>
      </c>
    </row>
    <row r="534" spans="1:16" hidden="1">
      <c r="A534" s="289" t="s">
        <v>359</v>
      </c>
      <c r="B534" s="55" t="s">
        <v>360</v>
      </c>
      <c r="C534" s="262" t="s">
        <v>139</v>
      </c>
      <c r="D534" s="55" t="s">
        <v>139</v>
      </c>
      <c r="E534" s="257">
        <v>0.24038461538461536</v>
      </c>
      <c r="F534" s="232">
        <v>2</v>
      </c>
      <c r="G534" s="262" t="s">
        <v>163</v>
      </c>
      <c r="H534" s="29">
        <v>2</v>
      </c>
      <c r="I534" s="9">
        <v>2</v>
      </c>
      <c r="J534" s="9">
        <v>1</v>
      </c>
      <c r="K534" s="9">
        <v>1</v>
      </c>
      <c r="L534" s="9">
        <v>1</v>
      </c>
      <c r="M534" s="9">
        <v>3</v>
      </c>
      <c r="N534" s="185">
        <f t="shared" si="43"/>
        <v>1.0195048044558224</v>
      </c>
      <c r="O534" s="159">
        <f t="shared" si="44"/>
        <v>1.0195048044558224</v>
      </c>
      <c r="P534" s="63" t="s">
        <v>356</v>
      </c>
    </row>
    <row r="535" spans="1:16" hidden="1">
      <c r="A535" s="289" t="s">
        <v>359</v>
      </c>
      <c r="B535" s="55" t="s">
        <v>360</v>
      </c>
      <c r="C535" s="262" t="s">
        <v>139</v>
      </c>
      <c r="D535" s="55" t="s">
        <v>139</v>
      </c>
      <c r="E535" s="257">
        <v>0.13440860215053765</v>
      </c>
      <c r="F535" s="232">
        <v>2</v>
      </c>
      <c r="G535" s="262" t="s">
        <v>163</v>
      </c>
      <c r="H535" s="29">
        <v>2</v>
      </c>
      <c r="I535" s="9">
        <v>2</v>
      </c>
      <c r="J535" s="9">
        <v>1</v>
      </c>
      <c r="K535" s="9">
        <v>1</v>
      </c>
      <c r="L535" s="9">
        <v>1</v>
      </c>
      <c r="M535" s="9">
        <v>3</v>
      </c>
      <c r="N535" s="185">
        <f t="shared" si="43"/>
        <v>1.0195048044558224</v>
      </c>
      <c r="O535" s="159">
        <f t="shared" si="44"/>
        <v>1.0195048044558224</v>
      </c>
      <c r="P535" s="63" t="s">
        <v>357</v>
      </c>
    </row>
    <row r="536" spans="1:16" hidden="1">
      <c r="A536" s="151" t="s">
        <v>39</v>
      </c>
      <c r="B536" s="34" t="s">
        <v>235</v>
      </c>
      <c r="C536" s="40" t="s">
        <v>139</v>
      </c>
      <c r="D536" s="34" t="s">
        <v>85</v>
      </c>
      <c r="E536" s="257">
        <v>5.33E-2</v>
      </c>
      <c r="F536" s="232">
        <v>1</v>
      </c>
      <c r="G536" s="40" t="s">
        <v>140</v>
      </c>
      <c r="H536" s="29">
        <v>2</v>
      </c>
      <c r="I536" s="9">
        <v>2</v>
      </c>
      <c r="J536" s="9">
        <v>2</v>
      </c>
      <c r="K536" s="9">
        <v>1</v>
      </c>
      <c r="L536" s="9">
        <v>1</v>
      </c>
      <c r="M536" s="9">
        <v>2</v>
      </c>
      <c r="N536" s="185">
        <f t="shared" si="43"/>
        <v>0.37356464144298934</v>
      </c>
      <c r="O536" s="159">
        <f t="shared" si="44"/>
        <v>0.37356464144298934</v>
      </c>
      <c r="P536" s="63"/>
    </row>
    <row r="537" spans="1:16" hidden="1">
      <c r="A537" s="151" t="s">
        <v>39</v>
      </c>
      <c r="B537" s="34" t="s">
        <v>235</v>
      </c>
      <c r="C537" s="40" t="s">
        <v>139</v>
      </c>
      <c r="D537" s="34" t="s">
        <v>86</v>
      </c>
      <c r="E537" s="257">
        <v>0</v>
      </c>
      <c r="F537" s="232">
        <v>1</v>
      </c>
      <c r="G537" s="40" t="s">
        <v>140</v>
      </c>
      <c r="H537" s="29"/>
      <c r="I537" s="9"/>
      <c r="J537" s="9"/>
      <c r="K537" s="9"/>
      <c r="L537" s="9"/>
      <c r="M537" s="9"/>
      <c r="N537" s="185" t="str">
        <f t="shared" si="43"/>
        <v/>
      </c>
      <c r="O537" s="159" t="str">
        <f t="shared" si="44"/>
        <v/>
      </c>
      <c r="P537" s="63"/>
    </row>
    <row r="538" spans="1:16" hidden="1">
      <c r="A538" s="151" t="s">
        <v>39</v>
      </c>
      <c r="B538" s="34" t="s">
        <v>235</v>
      </c>
      <c r="C538" s="40" t="s">
        <v>139</v>
      </c>
      <c r="D538" s="34" t="s">
        <v>87</v>
      </c>
      <c r="E538" s="257">
        <v>2.58E-2</v>
      </c>
      <c r="F538" s="232">
        <v>1</v>
      </c>
      <c r="G538" s="40" t="s">
        <v>140</v>
      </c>
      <c r="H538" s="29">
        <v>2</v>
      </c>
      <c r="I538" s="9">
        <v>2</v>
      </c>
      <c r="J538" s="9">
        <v>2</v>
      </c>
      <c r="K538" s="9">
        <v>1</v>
      </c>
      <c r="L538" s="9">
        <v>1</v>
      </c>
      <c r="M538" s="9">
        <v>2</v>
      </c>
      <c r="N538" s="185">
        <f t="shared" si="43"/>
        <v>0.37356464144298934</v>
      </c>
      <c r="O538" s="159">
        <f t="shared" si="44"/>
        <v>0.37356464144298934</v>
      </c>
      <c r="P538" s="63"/>
    </row>
    <row r="539" spans="1:16" hidden="1">
      <c r="A539" s="151" t="s">
        <v>39</v>
      </c>
      <c r="B539" s="34" t="s">
        <v>235</v>
      </c>
      <c r="C539" s="40" t="s">
        <v>139</v>
      </c>
      <c r="D539" s="34" t="s">
        <v>88</v>
      </c>
      <c r="E539" s="257">
        <v>0</v>
      </c>
      <c r="F539" s="232">
        <v>1</v>
      </c>
      <c r="G539" s="40" t="s">
        <v>140</v>
      </c>
      <c r="H539" s="29"/>
      <c r="I539" s="9"/>
      <c r="J539" s="9"/>
      <c r="K539" s="9"/>
      <c r="L539" s="9"/>
      <c r="M539" s="9"/>
      <c r="N539" s="185" t="str">
        <f t="shared" si="43"/>
        <v/>
      </c>
      <c r="O539" s="159" t="str">
        <f t="shared" si="44"/>
        <v/>
      </c>
      <c r="P539" s="63"/>
    </row>
    <row r="540" spans="1:16" hidden="1">
      <c r="A540" s="151" t="s">
        <v>39</v>
      </c>
      <c r="B540" s="34" t="s">
        <v>235</v>
      </c>
      <c r="C540" s="40" t="s">
        <v>139</v>
      </c>
      <c r="D540" s="34" t="s">
        <v>89</v>
      </c>
      <c r="E540" s="257">
        <v>0</v>
      </c>
      <c r="F540" s="232">
        <v>1</v>
      </c>
      <c r="G540" s="40" t="s">
        <v>140</v>
      </c>
      <c r="H540" s="29"/>
      <c r="I540" s="9"/>
      <c r="J540" s="9"/>
      <c r="K540" s="9"/>
      <c r="L540" s="9"/>
      <c r="M540" s="9"/>
      <c r="N540" s="185" t="str">
        <f t="shared" si="43"/>
        <v/>
      </c>
      <c r="O540" s="159" t="str">
        <f t="shared" si="44"/>
        <v/>
      </c>
      <c r="P540" s="63"/>
    </row>
    <row r="541" spans="1:16" hidden="1">
      <c r="A541" s="151" t="s">
        <v>39</v>
      </c>
      <c r="B541" s="34" t="s">
        <v>235</v>
      </c>
      <c r="C541" s="40" t="s">
        <v>139</v>
      </c>
      <c r="D541" s="34" t="s">
        <v>90</v>
      </c>
      <c r="E541" s="257">
        <v>0</v>
      </c>
      <c r="F541" s="232">
        <v>1</v>
      </c>
      <c r="G541" s="40" t="s">
        <v>140</v>
      </c>
      <c r="H541" s="29"/>
      <c r="I541" s="9"/>
      <c r="J541" s="9"/>
      <c r="K541" s="9"/>
      <c r="L541" s="9"/>
      <c r="M541" s="9"/>
      <c r="N541" s="185" t="str">
        <f t="shared" si="43"/>
        <v/>
      </c>
      <c r="O541" s="159" t="str">
        <f t="shared" si="44"/>
        <v/>
      </c>
      <c r="P541" s="63"/>
    </row>
    <row r="542" spans="1:16" hidden="1">
      <c r="A542" s="151" t="s">
        <v>39</v>
      </c>
      <c r="B542" s="34" t="s">
        <v>235</v>
      </c>
      <c r="C542" s="40" t="s">
        <v>139</v>
      </c>
      <c r="D542" s="34" t="s">
        <v>91</v>
      </c>
      <c r="E542" s="257">
        <v>0</v>
      </c>
      <c r="F542" s="232">
        <v>1</v>
      </c>
      <c r="G542" s="40" t="s">
        <v>140</v>
      </c>
      <c r="H542" s="29"/>
      <c r="I542" s="9"/>
      <c r="J542" s="9"/>
      <c r="K542" s="9"/>
      <c r="L542" s="9"/>
      <c r="M542" s="9"/>
      <c r="N542" s="185" t="str">
        <f t="shared" si="43"/>
        <v/>
      </c>
      <c r="O542" s="159" t="str">
        <f t="shared" si="44"/>
        <v/>
      </c>
      <c r="P542" s="63"/>
    </row>
    <row r="543" spans="1:16" hidden="1">
      <c r="A543" s="151" t="s">
        <v>39</v>
      </c>
      <c r="B543" s="34" t="s">
        <v>235</v>
      </c>
      <c r="C543" s="40" t="s">
        <v>139</v>
      </c>
      <c r="D543" s="34" t="s">
        <v>98</v>
      </c>
      <c r="E543" s="257">
        <v>0</v>
      </c>
      <c r="F543" s="232">
        <v>1</v>
      </c>
      <c r="G543" s="40" t="s">
        <v>141</v>
      </c>
      <c r="H543" s="29"/>
      <c r="I543" s="9"/>
      <c r="J543" s="9"/>
      <c r="K543" s="9"/>
      <c r="L543" s="9"/>
      <c r="M543" s="9"/>
      <c r="N543" s="185" t="str">
        <f t="shared" si="43"/>
        <v/>
      </c>
      <c r="O543" s="159" t="str">
        <f t="shared" si="44"/>
        <v/>
      </c>
      <c r="P543" s="63"/>
    </row>
    <row r="544" spans="1:16" hidden="1">
      <c r="A544" s="151" t="s">
        <v>37</v>
      </c>
      <c r="B544" s="34" t="s">
        <v>361</v>
      </c>
      <c r="C544" s="40" t="s">
        <v>139</v>
      </c>
      <c r="D544" s="34" t="s">
        <v>85</v>
      </c>
      <c r="E544" s="257">
        <f>Intentionally_produced_MPs!T127</f>
        <v>0</v>
      </c>
      <c r="F544" s="232">
        <v>1</v>
      </c>
      <c r="G544" s="40"/>
      <c r="H544" s="29"/>
      <c r="I544" s="9"/>
      <c r="J544" s="9"/>
      <c r="K544" s="9"/>
      <c r="L544" s="9"/>
      <c r="M544" s="9"/>
      <c r="N544" s="185" t="str">
        <f t="shared" si="43"/>
        <v/>
      </c>
      <c r="O544" s="159" t="str">
        <f t="shared" si="44"/>
        <v/>
      </c>
      <c r="P544" s="63"/>
    </row>
    <row r="545" spans="1:16" hidden="1">
      <c r="A545" s="151" t="s">
        <v>37</v>
      </c>
      <c r="B545" s="34" t="s">
        <v>361</v>
      </c>
      <c r="C545" s="40" t="s">
        <v>139</v>
      </c>
      <c r="D545" s="34" t="s">
        <v>86</v>
      </c>
      <c r="E545" s="257">
        <f>Intentionally_produced_MPs!T128</f>
        <v>0</v>
      </c>
      <c r="F545" s="232">
        <v>1</v>
      </c>
      <c r="G545" s="40"/>
      <c r="H545" s="29"/>
      <c r="I545" s="9"/>
      <c r="J545" s="9"/>
      <c r="K545" s="9"/>
      <c r="L545" s="9"/>
      <c r="M545" s="9"/>
      <c r="N545" s="185" t="str">
        <f t="shared" si="43"/>
        <v/>
      </c>
      <c r="O545" s="159" t="str">
        <f t="shared" si="44"/>
        <v/>
      </c>
      <c r="P545" s="63"/>
    </row>
    <row r="546" spans="1:16" hidden="1">
      <c r="A546" s="151" t="s">
        <v>37</v>
      </c>
      <c r="B546" s="34" t="s">
        <v>361</v>
      </c>
      <c r="C546" s="40" t="s">
        <v>139</v>
      </c>
      <c r="D546" s="34" t="s">
        <v>87</v>
      </c>
      <c r="E546" s="257">
        <f>Intentionally_produced_MPs!T129</f>
        <v>0</v>
      </c>
      <c r="F546" s="232">
        <v>1</v>
      </c>
      <c r="G546" s="40"/>
      <c r="H546" s="29"/>
      <c r="I546" s="9"/>
      <c r="J546" s="9"/>
      <c r="K546" s="9"/>
      <c r="L546" s="9"/>
      <c r="M546" s="9"/>
      <c r="N546" s="185" t="str">
        <f t="shared" si="43"/>
        <v/>
      </c>
      <c r="O546" s="159" t="str">
        <f t="shared" si="44"/>
        <v/>
      </c>
      <c r="P546" s="63"/>
    </row>
    <row r="547" spans="1:16" hidden="1">
      <c r="A547" s="151" t="s">
        <v>37</v>
      </c>
      <c r="B547" s="34" t="s">
        <v>361</v>
      </c>
      <c r="C547" s="40" t="s">
        <v>139</v>
      </c>
      <c r="D547" s="34" t="s">
        <v>88</v>
      </c>
      <c r="E547" s="257">
        <f>Intentionally_produced_MPs!T130</f>
        <v>0</v>
      </c>
      <c r="F547" s="232">
        <v>1</v>
      </c>
      <c r="G547" s="40"/>
      <c r="H547" s="29"/>
      <c r="I547" s="9"/>
      <c r="J547" s="9"/>
      <c r="K547" s="9"/>
      <c r="L547" s="9"/>
      <c r="M547" s="9"/>
      <c r="N547" s="185" t="str">
        <f t="shared" si="43"/>
        <v/>
      </c>
      <c r="O547" s="159" t="str">
        <f t="shared" si="44"/>
        <v/>
      </c>
      <c r="P547" s="63"/>
    </row>
    <row r="548" spans="1:16" hidden="1">
      <c r="A548" s="151" t="s">
        <v>37</v>
      </c>
      <c r="B548" s="34" t="s">
        <v>361</v>
      </c>
      <c r="C548" s="40" t="s">
        <v>139</v>
      </c>
      <c r="D548" s="34" t="s">
        <v>89</v>
      </c>
      <c r="E548" s="257">
        <f>Intentionally_produced_MPs!T131</f>
        <v>0</v>
      </c>
      <c r="F548" s="232">
        <v>1</v>
      </c>
      <c r="G548" s="40"/>
      <c r="H548" s="29"/>
      <c r="I548" s="9"/>
      <c r="J548" s="9"/>
      <c r="K548" s="9"/>
      <c r="L548" s="9"/>
      <c r="M548" s="9"/>
      <c r="N548" s="185" t="str">
        <f t="shared" si="43"/>
        <v/>
      </c>
      <c r="O548" s="159" t="str">
        <f t="shared" si="44"/>
        <v/>
      </c>
      <c r="P548" s="63"/>
    </row>
    <row r="549" spans="1:16" hidden="1">
      <c r="A549" s="151" t="s">
        <v>37</v>
      </c>
      <c r="B549" s="34" t="s">
        <v>361</v>
      </c>
      <c r="C549" s="40" t="s">
        <v>139</v>
      </c>
      <c r="D549" s="34" t="s">
        <v>90</v>
      </c>
      <c r="E549" s="257">
        <f>Intentionally_produced_MPs!T132</f>
        <v>0</v>
      </c>
      <c r="F549" s="232">
        <v>1</v>
      </c>
      <c r="G549" s="40"/>
      <c r="H549" s="29"/>
      <c r="I549" s="9"/>
      <c r="J549" s="9"/>
      <c r="K549" s="9"/>
      <c r="L549" s="9"/>
      <c r="M549" s="9"/>
      <c r="N549" s="185" t="str">
        <f t="shared" si="43"/>
        <v/>
      </c>
      <c r="O549" s="159" t="str">
        <f t="shared" si="44"/>
        <v/>
      </c>
      <c r="P549" s="63"/>
    </row>
    <row r="550" spans="1:16" hidden="1">
      <c r="A550" s="151" t="s">
        <v>37</v>
      </c>
      <c r="B550" s="34" t="s">
        <v>361</v>
      </c>
      <c r="C550" s="40" t="s">
        <v>139</v>
      </c>
      <c r="D550" s="34" t="s">
        <v>91</v>
      </c>
      <c r="E550" s="257">
        <f>Intentionally_produced_MPs!T133</f>
        <v>0</v>
      </c>
      <c r="F550" s="232">
        <v>1</v>
      </c>
      <c r="G550" s="40"/>
      <c r="H550" s="29"/>
      <c r="I550" s="9"/>
      <c r="J550" s="9"/>
      <c r="K550" s="9"/>
      <c r="L550" s="9"/>
      <c r="M550" s="9"/>
      <c r="N550" s="185" t="str">
        <f t="shared" si="43"/>
        <v/>
      </c>
      <c r="O550" s="159" t="str">
        <f t="shared" si="44"/>
        <v/>
      </c>
      <c r="P550" s="63"/>
    </row>
    <row r="551" spans="1:16" hidden="1">
      <c r="A551" s="151" t="s">
        <v>37</v>
      </c>
      <c r="B551" s="34" t="s">
        <v>361</v>
      </c>
      <c r="C551" s="40" t="s">
        <v>139</v>
      </c>
      <c r="D551" s="34" t="s">
        <v>92</v>
      </c>
      <c r="E551" s="257">
        <f>Intentionally_produced_MPs!T134</f>
        <v>0</v>
      </c>
      <c r="F551" s="232">
        <v>1</v>
      </c>
      <c r="G551" s="40"/>
      <c r="H551" s="29"/>
      <c r="I551" s="9"/>
      <c r="J551" s="9"/>
      <c r="K551" s="9"/>
      <c r="L551" s="9"/>
      <c r="M551" s="9"/>
      <c r="N551" s="185" t="str">
        <f t="shared" si="43"/>
        <v/>
      </c>
      <c r="O551" s="159" t="str">
        <f t="shared" si="44"/>
        <v/>
      </c>
      <c r="P551" s="63"/>
    </row>
    <row r="552" spans="1:16" hidden="1">
      <c r="A552" s="151" t="s">
        <v>37</v>
      </c>
      <c r="B552" s="34" t="s">
        <v>361</v>
      </c>
      <c r="C552" s="40" t="s">
        <v>139</v>
      </c>
      <c r="D552" s="34" t="s">
        <v>93</v>
      </c>
      <c r="E552" s="257">
        <f>Intentionally_produced_MPs!T135</f>
        <v>0</v>
      </c>
      <c r="F552" s="232">
        <v>1</v>
      </c>
      <c r="G552" s="40"/>
      <c r="H552" s="29"/>
      <c r="I552" s="9"/>
      <c r="J552" s="9"/>
      <c r="K552" s="9"/>
      <c r="L552" s="9"/>
      <c r="M552" s="9"/>
      <c r="N552" s="185" t="str">
        <f t="shared" si="43"/>
        <v/>
      </c>
      <c r="O552" s="159" t="str">
        <f t="shared" si="44"/>
        <v/>
      </c>
      <c r="P552" s="63"/>
    </row>
    <row r="553" spans="1:16" hidden="1">
      <c r="A553" s="151" t="s">
        <v>37</v>
      </c>
      <c r="B553" s="34" t="s">
        <v>361</v>
      </c>
      <c r="C553" s="40" t="s">
        <v>139</v>
      </c>
      <c r="D553" s="34" t="s">
        <v>94</v>
      </c>
      <c r="E553" s="257">
        <f>Intentionally_produced_MPs!T136</f>
        <v>0</v>
      </c>
      <c r="F553" s="232">
        <v>1</v>
      </c>
      <c r="G553" s="40"/>
      <c r="H553" s="29"/>
      <c r="I553" s="9"/>
      <c r="J553" s="9"/>
      <c r="K553" s="9"/>
      <c r="L553" s="9"/>
      <c r="M553" s="9"/>
      <c r="N553" s="185" t="str">
        <f t="shared" si="43"/>
        <v/>
      </c>
      <c r="O553" s="159" t="str">
        <f t="shared" si="44"/>
        <v/>
      </c>
      <c r="P553" s="63"/>
    </row>
    <row r="554" spans="1:16" hidden="1">
      <c r="A554" s="151" t="s">
        <v>37</v>
      </c>
      <c r="B554" s="34" t="s">
        <v>361</v>
      </c>
      <c r="C554" s="40" t="s">
        <v>139</v>
      </c>
      <c r="D554" s="34" t="s">
        <v>95</v>
      </c>
      <c r="E554" s="257">
        <f>Intentionally_produced_MPs!T137</f>
        <v>0</v>
      </c>
      <c r="F554" s="232">
        <v>1</v>
      </c>
      <c r="G554" s="40"/>
      <c r="H554" s="29"/>
      <c r="I554" s="9"/>
      <c r="J554" s="9"/>
      <c r="K554" s="9"/>
      <c r="L554" s="9"/>
      <c r="M554" s="9"/>
      <c r="N554" s="185" t="str">
        <f t="shared" si="43"/>
        <v/>
      </c>
      <c r="O554" s="159" t="str">
        <f t="shared" si="44"/>
        <v/>
      </c>
      <c r="P554" s="63"/>
    </row>
    <row r="555" spans="1:16" hidden="1">
      <c r="A555" s="151" t="s">
        <v>37</v>
      </c>
      <c r="B555" s="34" t="s">
        <v>361</v>
      </c>
      <c r="C555" s="40" t="s">
        <v>139</v>
      </c>
      <c r="D555" s="34" t="s">
        <v>96</v>
      </c>
      <c r="E555" s="257">
        <f>Intentionally_produced_MPs!T138</f>
        <v>0</v>
      </c>
      <c r="F555" s="232">
        <v>1</v>
      </c>
      <c r="G555" s="40"/>
      <c r="H555" s="29"/>
      <c r="I555" s="9"/>
      <c r="J555" s="9"/>
      <c r="K555" s="9"/>
      <c r="L555" s="9"/>
      <c r="M555" s="9"/>
      <c r="N555" s="185" t="str">
        <f t="shared" si="43"/>
        <v/>
      </c>
      <c r="O555" s="159" t="str">
        <f t="shared" si="44"/>
        <v/>
      </c>
      <c r="P555" s="63"/>
    </row>
    <row r="556" spans="1:16" hidden="1">
      <c r="A556" s="151" t="s">
        <v>37</v>
      </c>
      <c r="B556" s="34" t="s">
        <v>361</v>
      </c>
      <c r="C556" s="40" t="s">
        <v>139</v>
      </c>
      <c r="D556" s="34" t="s">
        <v>97</v>
      </c>
      <c r="E556" s="257">
        <f>Intentionally_produced_MPs!T139</f>
        <v>0</v>
      </c>
      <c r="F556" s="232">
        <v>1</v>
      </c>
      <c r="G556" s="40"/>
      <c r="H556" s="29"/>
      <c r="I556" s="9"/>
      <c r="J556" s="9"/>
      <c r="K556" s="9"/>
      <c r="L556" s="9"/>
      <c r="M556" s="9"/>
      <c r="N556" s="185" t="str">
        <f t="shared" si="43"/>
        <v/>
      </c>
      <c r="O556" s="159" t="str">
        <f t="shared" si="44"/>
        <v/>
      </c>
      <c r="P556" s="63"/>
    </row>
    <row r="557" spans="1:16" hidden="1">
      <c r="A557" s="151" t="s">
        <v>37</v>
      </c>
      <c r="B557" s="34" t="s">
        <v>361</v>
      </c>
      <c r="C557" s="40" t="s">
        <v>139</v>
      </c>
      <c r="D557" s="34" t="s">
        <v>98</v>
      </c>
      <c r="E557" s="257">
        <f>Intentionally_produced_MPs!T140</f>
        <v>0.3578389480384554</v>
      </c>
      <c r="F557" s="232">
        <v>1</v>
      </c>
      <c r="G557" s="40"/>
      <c r="H557" s="29">
        <v>3</v>
      </c>
      <c r="I557" s="9">
        <v>2</v>
      </c>
      <c r="J557" s="9">
        <v>3</v>
      </c>
      <c r="K557" s="9">
        <v>3</v>
      </c>
      <c r="L557" s="9">
        <v>3</v>
      </c>
      <c r="M557" s="9">
        <v>3</v>
      </c>
      <c r="N557" s="185">
        <f t="shared" si="43"/>
        <v>1.2132328390150593</v>
      </c>
      <c r="O557" s="159">
        <f t="shared" si="44"/>
        <v>1.1713319510247036</v>
      </c>
      <c r="P557" s="63"/>
    </row>
    <row r="558" spans="1:16" hidden="1">
      <c r="A558" s="151" t="s">
        <v>362</v>
      </c>
      <c r="B558" s="34" t="s">
        <v>363</v>
      </c>
      <c r="C558" s="40" t="s">
        <v>139</v>
      </c>
      <c r="D558" s="34" t="s">
        <v>139</v>
      </c>
      <c r="E558" s="257">
        <v>0.03</v>
      </c>
      <c r="F558" s="232">
        <v>2</v>
      </c>
      <c r="G558" s="40" t="s">
        <v>364</v>
      </c>
      <c r="H558" s="29">
        <v>2</v>
      </c>
      <c r="I558" s="9">
        <v>2</v>
      </c>
      <c r="J558" s="9">
        <v>2</v>
      </c>
      <c r="K558" s="9">
        <v>1</v>
      </c>
      <c r="L558" s="9">
        <v>1</v>
      </c>
      <c r="M558" s="9">
        <v>2</v>
      </c>
      <c r="N558" s="185">
        <f t="shared" si="43"/>
        <v>0.37356464144298934</v>
      </c>
      <c r="O558" s="159">
        <f t="shared" si="44"/>
        <v>0.37356464144298934</v>
      </c>
      <c r="P558" s="63" t="s">
        <v>365</v>
      </c>
    </row>
    <row r="559" spans="1:16" hidden="1">
      <c r="A559" s="151" t="s">
        <v>200</v>
      </c>
      <c r="B559" s="34" t="s">
        <v>367</v>
      </c>
      <c r="C559" s="40" t="s">
        <v>139</v>
      </c>
      <c r="D559" s="34" t="s">
        <v>85</v>
      </c>
      <c r="E559" s="257">
        <v>0.13950000000000001</v>
      </c>
      <c r="F559" s="232">
        <v>2</v>
      </c>
      <c r="G559" s="40" t="s">
        <v>368</v>
      </c>
      <c r="H559" s="29">
        <v>2</v>
      </c>
      <c r="I559" s="9">
        <v>2</v>
      </c>
      <c r="J559" s="9">
        <v>2</v>
      </c>
      <c r="K559" s="9">
        <v>1</v>
      </c>
      <c r="L559" s="9">
        <v>1</v>
      </c>
      <c r="M559" s="9">
        <v>2</v>
      </c>
      <c r="N559" s="185">
        <f t="shared" si="43"/>
        <v>0.37356464144298934</v>
      </c>
      <c r="O559" s="159">
        <f t="shared" si="44"/>
        <v>0.37356464144298934</v>
      </c>
      <c r="P559" s="63"/>
    </row>
    <row r="560" spans="1:16" hidden="1">
      <c r="A560" s="151" t="s">
        <v>200</v>
      </c>
      <c r="B560" s="34" t="s">
        <v>367</v>
      </c>
      <c r="C560" s="40" t="s">
        <v>139</v>
      </c>
      <c r="D560" s="34" t="s">
        <v>86</v>
      </c>
      <c r="E560" s="257">
        <v>0.24110000000000001</v>
      </c>
      <c r="F560" s="232">
        <v>2</v>
      </c>
      <c r="G560" s="40" t="s">
        <v>368</v>
      </c>
      <c r="H560" s="29">
        <v>2</v>
      </c>
      <c r="I560" s="9">
        <v>2</v>
      </c>
      <c r="J560" s="9">
        <v>2</v>
      </c>
      <c r="K560" s="9">
        <v>1</v>
      </c>
      <c r="L560" s="9">
        <v>1</v>
      </c>
      <c r="M560" s="9">
        <v>2</v>
      </c>
      <c r="N560" s="185">
        <f t="shared" si="43"/>
        <v>0.37356464144298934</v>
      </c>
      <c r="O560" s="159">
        <f t="shared" si="44"/>
        <v>0.37356464144298934</v>
      </c>
      <c r="P560" s="63"/>
    </row>
    <row r="561" spans="1:16" hidden="1">
      <c r="A561" s="151" t="s">
        <v>200</v>
      </c>
      <c r="B561" s="34" t="s">
        <v>367</v>
      </c>
      <c r="C561" s="40" t="s">
        <v>139</v>
      </c>
      <c r="D561" s="34" t="s">
        <v>87</v>
      </c>
      <c r="E561" s="257">
        <v>0.17499999999999999</v>
      </c>
      <c r="F561" s="232">
        <v>2</v>
      </c>
      <c r="G561" s="40" t="s">
        <v>368</v>
      </c>
      <c r="H561" s="29">
        <v>2</v>
      </c>
      <c r="I561" s="9">
        <v>2</v>
      </c>
      <c r="J561" s="9">
        <v>2</v>
      </c>
      <c r="K561" s="9">
        <v>1</v>
      </c>
      <c r="L561" s="9">
        <v>1</v>
      </c>
      <c r="M561" s="9">
        <v>2</v>
      </c>
      <c r="N561" s="185">
        <f t="shared" si="43"/>
        <v>0.37356464144298934</v>
      </c>
      <c r="O561" s="159">
        <f t="shared" si="44"/>
        <v>0.37356464144298934</v>
      </c>
      <c r="P561" s="63"/>
    </row>
    <row r="562" spans="1:16" hidden="1">
      <c r="A562" s="151" t="s">
        <v>200</v>
      </c>
      <c r="B562" s="34" t="s">
        <v>367</v>
      </c>
      <c r="C562" s="40" t="s">
        <v>139</v>
      </c>
      <c r="D562" s="34" t="s">
        <v>88</v>
      </c>
      <c r="E562" s="257">
        <v>0.22220000000000001</v>
      </c>
      <c r="F562" s="232">
        <v>2</v>
      </c>
      <c r="G562" s="40" t="s">
        <v>368</v>
      </c>
      <c r="H562" s="29">
        <v>2</v>
      </c>
      <c r="I562" s="9">
        <v>2</v>
      </c>
      <c r="J562" s="9">
        <v>2</v>
      </c>
      <c r="K562" s="9">
        <v>1</v>
      </c>
      <c r="L562" s="9">
        <v>1</v>
      </c>
      <c r="M562" s="9">
        <v>2</v>
      </c>
      <c r="N562" s="185">
        <f t="shared" si="43"/>
        <v>0.37356464144298934</v>
      </c>
      <c r="O562" s="159">
        <f t="shared" si="44"/>
        <v>0.37356464144298934</v>
      </c>
      <c r="P562" s="63"/>
    </row>
    <row r="563" spans="1:16" hidden="1">
      <c r="A563" s="151" t="s">
        <v>200</v>
      </c>
      <c r="B563" s="34" t="s">
        <v>367</v>
      </c>
      <c r="C563" s="40" t="s">
        <v>139</v>
      </c>
      <c r="D563" s="34" t="s">
        <v>89</v>
      </c>
      <c r="E563" s="257">
        <v>0.22220000000000001</v>
      </c>
      <c r="F563" s="232">
        <v>2</v>
      </c>
      <c r="G563" s="40" t="s">
        <v>368</v>
      </c>
      <c r="H563" s="29">
        <v>2</v>
      </c>
      <c r="I563" s="9">
        <v>2</v>
      </c>
      <c r="J563" s="9">
        <v>2</v>
      </c>
      <c r="K563" s="9">
        <v>1</v>
      </c>
      <c r="L563" s="9">
        <v>1</v>
      </c>
      <c r="M563" s="9">
        <v>2</v>
      </c>
      <c r="N563" s="185">
        <f t="shared" si="43"/>
        <v>0.37356464144298934</v>
      </c>
      <c r="O563" s="159">
        <f t="shared" si="44"/>
        <v>0.37356464144298934</v>
      </c>
      <c r="P563" s="63"/>
    </row>
    <row r="564" spans="1:16" hidden="1">
      <c r="A564" s="151" t="s">
        <v>200</v>
      </c>
      <c r="B564" s="34" t="s">
        <v>367</v>
      </c>
      <c r="C564" s="40" t="s">
        <v>139</v>
      </c>
      <c r="D564" s="34" t="s">
        <v>90</v>
      </c>
      <c r="E564" s="257">
        <v>0</v>
      </c>
      <c r="F564" s="232">
        <v>2</v>
      </c>
      <c r="G564" s="40" t="s">
        <v>368</v>
      </c>
      <c r="H564" s="29"/>
      <c r="I564" s="9"/>
      <c r="J564" s="9"/>
      <c r="K564" s="9"/>
      <c r="L564" s="9"/>
      <c r="M564" s="9"/>
      <c r="N564" s="185" t="str">
        <f t="shared" si="43"/>
        <v/>
      </c>
      <c r="O564" s="159" t="str">
        <f t="shared" si="44"/>
        <v/>
      </c>
      <c r="P564" s="63"/>
    </row>
    <row r="565" spans="1:16" hidden="1">
      <c r="A565" s="151" t="s">
        <v>200</v>
      </c>
      <c r="B565" s="34" t="s">
        <v>367</v>
      </c>
      <c r="C565" s="40" t="s">
        <v>139</v>
      </c>
      <c r="D565" s="34" t="s">
        <v>91</v>
      </c>
      <c r="E565" s="257">
        <v>0.22220000000000001</v>
      </c>
      <c r="F565" s="232">
        <v>2</v>
      </c>
      <c r="G565" s="40" t="s">
        <v>368</v>
      </c>
      <c r="H565" s="29">
        <v>2</v>
      </c>
      <c r="I565" s="9">
        <v>2</v>
      </c>
      <c r="J565" s="9">
        <v>2</v>
      </c>
      <c r="K565" s="9">
        <v>1</v>
      </c>
      <c r="L565" s="9">
        <v>1</v>
      </c>
      <c r="M565" s="9">
        <v>2</v>
      </c>
      <c r="N565" s="185">
        <f t="shared" si="43"/>
        <v>0.37356464144298934</v>
      </c>
      <c r="O565" s="159">
        <f t="shared" si="44"/>
        <v>0.37356464144298934</v>
      </c>
      <c r="P565" s="63"/>
    </row>
    <row r="566" spans="1:16" hidden="1">
      <c r="A566" s="151" t="s">
        <v>201</v>
      </c>
      <c r="B566" s="34" t="s">
        <v>367</v>
      </c>
      <c r="C566" s="40" t="s">
        <v>139</v>
      </c>
      <c r="D566" s="34" t="s">
        <v>85</v>
      </c>
      <c r="E566" s="257">
        <v>0</v>
      </c>
      <c r="F566" s="232">
        <v>2</v>
      </c>
      <c r="G566" s="40" t="s">
        <v>368</v>
      </c>
      <c r="H566" s="29"/>
      <c r="I566" s="9"/>
      <c r="J566" s="9"/>
      <c r="K566" s="9"/>
      <c r="L566" s="9"/>
      <c r="M566" s="9"/>
      <c r="N566" s="185" t="str">
        <f t="shared" si="43"/>
        <v/>
      </c>
      <c r="O566" s="159" t="str">
        <f t="shared" si="44"/>
        <v/>
      </c>
      <c r="P566" s="63"/>
    </row>
    <row r="567" spans="1:16" hidden="1">
      <c r="A567" s="151" t="s">
        <v>201</v>
      </c>
      <c r="B567" s="34" t="s">
        <v>367</v>
      </c>
      <c r="C567" s="40" t="s">
        <v>139</v>
      </c>
      <c r="D567" s="34" t="s">
        <v>86</v>
      </c>
      <c r="E567" s="257">
        <v>0</v>
      </c>
      <c r="F567" s="232">
        <v>2</v>
      </c>
      <c r="G567" s="40" t="s">
        <v>368</v>
      </c>
      <c r="H567" s="29"/>
      <c r="I567" s="9"/>
      <c r="J567" s="9"/>
      <c r="K567" s="9"/>
      <c r="L567" s="9"/>
      <c r="M567" s="9"/>
      <c r="N567" s="185" t="str">
        <f t="shared" si="43"/>
        <v/>
      </c>
      <c r="O567" s="159" t="str">
        <f t="shared" si="44"/>
        <v/>
      </c>
      <c r="P567" s="63"/>
    </row>
    <row r="568" spans="1:16" hidden="1">
      <c r="A568" s="151" t="s">
        <v>201</v>
      </c>
      <c r="B568" s="34" t="s">
        <v>367</v>
      </c>
      <c r="C568" s="40" t="s">
        <v>139</v>
      </c>
      <c r="D568" s="34" t="s">
        <v>87</v>
      </c>
      <c r="E568" s="257">
        <v>0</v>
      </c>
      <c r="F568" s="232">
        <v>2</v>
      </c>
      <c r="G568" s="40" t="s">
        <v>368</v>
      </c>
      <c r="H568" s="29"/>
      <c r="I568" s="9"/>
      <c r="J568" s="9"/>
      <c r="K568" s="9"/>
      <c r="L568" s="9"/>
      <c r="M568" s="9"/>
      <c r="N568" s="185" t="str">
        <f t="shared" si="43"/>
        <v/>
      </c>
      <c r="O568" s="159" t="str">
        <f t="shared" si="44"/>
        <v/>
      </c>
      <c r="P568" s="63"/>
    </row>
    <row r="569" spans="1:16" hidden="1">
      <c r="A569" s="151" t="s">
        <v>201</v>
      </c>
      <c r="B569" s="34" t="s">
        <v>367</v>
      </c>
      <c r="C569" s="40" t="s">
        <v>139</v>
      </c>
      <c r="D569" s="34" t="s">
        <v>88</v>
      </c>
      <c r="E569" s="257">
        <v>0.35439999999999999</v>
      </c>
      <c r="F569" s="232">
        <v>2</v>
      </c>
      <c r="G569" s="40" t="s">
        <v>368</v>
      </c>
      <c r="H569" s="29">
        <v>2</v>
      </c>
      <c r="I569" s="9">
        <v>2</v>
      </c>
      <c r="J569" s="9">
        <v>2</v>
      </c>
      <c r="K569" s="9">
        <v>1</v>
      </c>
      <c r="L569" s="9">
        <v>1</v>
      </c>
      <c r="M569" s="9">
        <v>2</v>
      </c>
      <c r="N569" s="185">
        <f t="shared" si="43"/>
        <v>0.37356464144298934</v>
      </c>
      <c r="O569" s="159">
        <f t="shared" si="44"/>
        <v>0.37356464144298934</v>
      </c>
      <c r="P569" s="63"/>
    </row>
    <row r="570" spans="1:16" hidden="1">
      <c r="A570" s="151" t="s">
        <v>201</v>
      </c>
      <c r="B570" s="34" t="s">
        <v>367</v>
      </c>
      <c r="C570" s="40" t="s">
        <v>139</v>
      </c>
      <c r="D570" s="34" t="s">
        <v>89</v>
      </c>
      <c r="E570" s="257">
        <v>0</v>
      </c>
      <c r="F570" s="232">
        <v>2</v>
      </c>
      <c r="G570" s="40" t="s">
        <v>368</v>
      </c>
      <c r="H570" s="29"/>
      <c r="I570" s="9"/>
      <c r="J570" s="9"/>
      <c r="K570" s="9"/>
      <c r="L570" s="9"/>
      <c r="M570" s="9"/>
      <c r="N570" s="185" t="str">
        <f t="shared" si="43"/>
        <v/>
      </c>
      <c r="O570" s="159" t="str">
        <f t="shared" si="44"/>
        <v/>
      </c>
      <c r="P570" s="63"/>
    </row>
    <row r="571" spans="1:16" hidden="1">
      <c r="A571" s="151" t="s">
        <v>201</v>
      </c>
      <c r="B571" s="34" t="s">
        <v>367</v>
      </c>
      <c r="C571" s="40" t="s">
        <v>139</v>
      </c>
      <c r="D571" s="34" t="s">
        <v>90</v>
      </c>
      <c r="E571" s="257">
        <v>0</v>
      </c>
      <c r="F571" s="232">
        <v>2</v>
      </c>
      <c r="G571" s="40" t="s">
        <v>368</v>
      </c>
      <c r="H571" s="29"/>
      <c r="I571" s="9"/>
      <c r="J571" s="9"/>
      <c r="K571" s="9"/>
      <c r="L571" s="9"/>
      <c r="M571" s="9"/>
      <c r="N571" s="185" t="str">
        <f t="shared" si="43"/>
        <v/>
      </c>
      <c r="O571" s="159" t="str">
        <f t="shared" si="44"/>
        <v/>
      </c>
      <c r="P571" s="63"/>
    </row>
    <row r="572" spans="1:16" hidden="1">
      <c r="A572" s="151" t="s">
        <v>201</v>
      </c>
      <c r="B572" s="34" t="s">
        <v>367</v>
      </c>
      <c r="C572" s="40" t="s">
        <v>139</v>
      </c>
      <c r="D572" s="34" t="s">
        <v>91</v>
      </c>
      <c r="E572" s="257">
        <v>0.35439999999999999</v>
      </c>
      <c r="F572" s="232">
        <v>2</v>
      </c>
      <c r="G572" s="40" t="s">
        <v>368</v>
      </c>
      <c r="H572" s="29">
        <v>2</v>
      </c>
      <c r="I572" s="9">
        <v>2</v>
      </c>
      <c r="J572" s="9">
        <v>2</v>
      </c>
      <c r="K572" s="9">
        <v>1</v>
      </c>
      <c r="L572" s="9">
        <v>1</v>
      </c>
      <c r="M572" s="9">
        <v>2</v>
      </c>
      <c r="N572" s="185">
        <f t="shared" si="43"/>
        <v>0.37356464144298934</v>
      </c>
      <c r="O572" s="159">
        <f t="shared" si="44"/>
        <v>0.37356464144298934</v>
      </c>
      <c r="P572" s="63"/>
    </row>
    <row r="573" spans="1:16" hidden="1">
      <c r="A573" s="151" t="s">
        <v>202</v>
      </c>
      <c r="B573" s="34" t="s">
        <v>367</v>
      </c>
      <c r="C573" s="40" t="s">
        <v>139</v>
      </c>
      <c r="D573" s="34" t="s">
        <v>85</v>
      </c>
      <c r="E573" s="257">
        <v>0.1017</v>
      </c>
      <c r="F573" s="232">
        <v>2</v>
      </c>
      <c r="G573" s="40" t="s">
        <v>368</v>
      </c>
      <c r="H573" s="29">
        <v>2</v>
      </c>
      <c r="I573" s="9">
        <v>2</v>
      </c>
      <c r="J573" s="9">
        <v>2</v>
      </c>
      <c r="K573" s="9">
        <v>1</v>
      </c>
      <c r="L573" s="9">
        <v>1</v>
      </c>
      <c r="M573" s="9">
        <v>2</v>
      </c>
      <c r="N573" s="185">
        <f t="shared" si="43"/>
        <v>0.37356464144298934</v>
      </c>
      <c r="O573" s="159">
        <f t="shared" si="44"/>
        <v>0.37356464144298934</v>
      </c>
      <c r="P573" s="63"/>
    </row>
    <row r="574" spans="1:16" hidden="1">
      <c r="A574" s="151" t="s">
        <v>202</v>
      </c>
      <c r="B574" s="34" t="s">
        <v>367</v>
      </c>
      <c r="C574" s="40" t="s">
        <v>139</v>
      </c>
      <c r="D574" s="34" t="s">
        <v>86</v>
      </c>
      <c r="E574" s="257">
        <v>0.28570000000000001</v>
      </c>
      <c r="F574" s="232">
        <v>2</v>
      </c>
      <c r="G574" s="40" t="s">
        <v>368</v>
      </c>
      <c r="H574" s="29">
        <v>2</v>
      </c>
      <c r="I574" s="9">
        <v>2</v>
      </c>
      <c r="J574" s="9">
        <v>2</v>
      </c>
      <c r="K574" s="9">
        <v>1</v>
      </c>
      <c r="L574" s="9">
        <v>1</v>
      </c>
      <c r="M574" s="9">
        <v>2</v>
      </c>
      <c r="N574" s="185">
        <f t="shared" si="43"/>
        <v>0.37356464144298934</v>
      </c>
      <c r="O574" s="159">
        <f t="shared" si="44"/>
        <v>0.37356464144298934</v>
      </c>
      <c r="P574" s="63"/>
    </row>
    <row r="575" spans="1:16" hidden="1">
      <c r="A575" s="151" t="s">
        <v>202</v>
      </c>
      <c r="B575" s="34" t="s">
        <v>367</v>
      </c>
      <c r="C575" s="40" t="s">
        <v>139</v>
      </c>
      <c r="D575" s="34" t="s">
        <v>87</v>
      </c>
      <c r="E575" s="257">
        <v>0.18840000000000001</v>
      </c>
      <c r="F575" s="232">
        <v>2</v>
      </c>
      <c r="G575" s="40" t="s">
        <v>368</v>
      </c>
      <c r="H575" s="29">
        <v>2</v>
      </c>
      <c r="I575" s="9">
        <v>2</v>
      </c>
      <c r="J575" s="9">
        <v>2</v>
      </c>
      <c r="K575" s="9">
        <v>1</v>
      </c>
      <c r="L575" s="9">
        <v>1</v>
      </c>
      <c r="M575" s="9">
        <v>2</v>
      </c>
      <c r="N575" s="185">
        <f t="shared" si="43"/>
        <v>0.37356464144298934</v>
      </c>
      <c r="O575" s="159">
        <f t="shared" si="44"/>
        <v>0.37356464144298934</v>
      </c>
      <c r="P575" s="63"/>
    </row>
    <row r="576" spans="1:16" hidden="1">
      <c r="A576" s="151" t="s">
        <v>202</v>
      </c>
      <c r="B576" s="34" t="s">
        <v>367</v>
      </c>
      <c r="C576" s="40" t="s">
        <v>139</v>
      </c>
      <c r="D576" s="34" t="s">
        <v>88</v>
      </c>
      <c r="E576" s="257">
        <v>0.2</v>
      </c>
      <c r="F576" s="232">
        <v>2</v>
      </c>
      <c r="G576" s="40" t="s">
        <v>368</v>
      </c>
      <c r="H576" s="29">
        <v>2</v>
      </c>
      <c r="I576" s="9">
        <v>2</v>
      </c>
      <c r="J576" s="9">
        <v>2</v>
      </c>
      <c r="K576" s="9">
        <v>1</v>
      </c>
      <c r="L576" s="9">
        <v>1</v>
      </c>
      <c r="M576" s="9">
        <v>2</v>
      </c>
      <c r="N576" s="185">
        <f t="shared" si="43"/>
        <v>0.37356464144298934</v>
      </c>
      <c r="O576" s="159">
        <f t="shared" si="44"/>
        <v>0.37356464144298934</v>
      </c>
      <c r="P576" s="63"/>
    </row>
    <row r="577" spans="1:16" hidden="1">
      <c r="A577" s="151" t="s">
        <v>202</v>
      </c>
      <c r="B577" s="34" t="s">
        <v>367</v>
      </c>
      <c r="C577" s="40" t="s">
        <v>139</v>
      </c>
      <c r="D577" s="34" t="s">
        <v>89</v>
      </c>
      <c r="E577" s="257">
        <v>0.2</v>
      </c>
      <c r="F577" s="232">
        <v>2</v>
      </c>
      <c r="G577" s="40" t="s">
        <v>368</v>
      </c>
      <c r="H577" s="29">
        <v>2</v>
      </c>
      <c r="I577" s="9">
        <v>2</v>
      </c>
      <c r="J577" s="9">
        <v>2</v>
      </c>
      <c r="K577" s="9">
        <v>1</v>
      </c>
      <c r="L577" s="9">
        <v>1</v>
      </c>
      <c r="M577" s="9">
        <v>2</v>
      </c>
      <c r="N577" s="185">
        <f t="shared" si="43"/>
        <v>0.37356464144298934</v>
      </c>
      <c r="O577" s="159">
        <f t="shared" si="44"/>
        <v>0.37356464144298934</v>
      </c>
      <c r="P577" s="63"/>
    </row>
    <row r="578" spans="1:16" hidden="1">
      <c r="A578" s="151" t="s">
        <v>202</v>
      </c>
      <c r="B578" s="34" t="s">
        <v>367</v>
      </c>
      <c r="C578" s="40" t="s">
        <v>139</v>
      </c>
      <c r="D578" s="34" t="s">
        <v>90</v>
      </c>
      <c r="E578" s="257">
        <v>0.2</v>
      </c>
      <c r="F578" s="232">
        <v>2</v>
      </c>
      <c r="G578" s="40" t="s">
        <v>368</v>
      </c>
      <c r="H578" s="29">
        <v>2</v>
      </c>
      <c r="I578" s="9">
        <v>2</v>
      </c>
      <c r="J578" s="9">
        <v>2</v>
      </c>
      <c r="K578" s="9">
        <v>1</v>
      </c>
      <c r="L578" s="9">
        <v>1</v>
      </c>
      <c r="M578" s="9">
        <v>2</v>
      </c>
      <c r="N578" s="185">
        <f t="shared" si="43"/>
        <v>0.37356464144298934</v>
      </c>
      <c r="O578" s="159">
        <f t="shared" si="44"/>
        <v>0.37356464144298934</v>
      </c>
      <c r="P578" s="63"/>
    </row>
    <row r="579" spans="1:16" hidden="1">
      <c r="A579" s="151" t="s">
        <v>202</v>
      </c>
      <c r="B579" s="34" t="s">
        <v>367</v>
      </c>
      <c r="C579" s="40" t="s">
        <v>139</v>
      </c>
      <c r="D579" s="34" t="s">
        <v>91</v>
      </c>
      <c r="E579" s="257">
        <v>0.2</v>
      </c>
      <c r="F579" s="232">
        <v>2</v>
      </c>
      <c r="G579" s="40" t="s">
        <v>368</v>
      </c>
      <c r="H579" s="29">
        <v>2</v>
      </c>
      <c r="I579" s="9">
        <v>2</v>
      </c>
      <c r="J579" s="9">
        <v>2</v>
      </c>
      <c r="K579" s="9">
        <v>1</v>
      </c>
      <c r="L579" s="9">
        <v>1</v>
      </c>
      <c r="M579" s="9">
        <v>2</v>
      </c>
      <c r="N579" s="185">
        <f t="shared" si="43"/>
        <v>0.37356464144298934</v>
      </c>
      <c r="O579" s="159">
        <f t="shared" si="44"/>
        <v>0.37356464144298934</v>
      </c>
      <c r="P579" s="63"/>
    </row>
    <row r="580" spans="1:16" hidden="1">
      <c r="A580" s="151" t="s">
        <v>203</v>
      </c>
      <c r="B580" s="34" t="s">
        <v>367</v>
      </c>
      <c r="C580" s="40" t="s">
        <v>139</v>
      </c>
      <c r="D580" s="34" t="s">
        <v>85</v>
      </c>
      <c r="E580" s="257">
        <v>0</v>
      </c>
      <c r="F580" s="232">
        <v>2</v>
      </c>
      <c r="G580" s="40" t="s">
        <v>368</v>
      </c>
      <c r="H580" s="29"/>
      <c r="I580" s="9"/>
      <c r="J580" s="9"/>
      <c r="K580" s="9"/>
      <c r="L580" s="9"/>
      <c r="M580" s="9"/>
      <c r="N580" s="185" t="str">
        <f t="shared" si="43"/>
        <v/>
      </c>
      <c r="O580" s="159" t="str">
        <f t="shared" si="44"/>
        <v/>
      </c>
      <c r="P580" s="63"/>
    </row>
    <row r="581" spans="1:16" hidden="1">
      <c r="A581" s="151" t="s">
        <v>203</v>
      </c>
      <c r="B581" s="34" t="s">
        <v>367</v>
      </c>
      <c r="C581" s="40" t="s">
        <v>139</v>
      </c>
      <c r="D581" s="34" t="s">
        <v>86</v>
      </c>
      <c r="E581" s="257">
        <v>0.1176</v>
      </c>
      <c r="F581" s="232">
        <v>2</v>
      </c>
      <c r="G581" s="40" t="s">
        <v>368</v>
      </c>
      <c r="H581" s="29">
        <v>2</v>
      </c>
      <c r="I581" s="9"/>
      <c r="J581" s="9">
        <v>2</v>
      </c>
      <c r="K581" s="9">
        <v>1</v>
      </c>
      <c r="L581" s="9">
        <v>1</v>
      </c>
      <c r="M581" s="9">
        <v>2</v>
      </c>
      <c r="N581" s="185">
        <f t="shared" si="43"/>
        <v>0.37356464144298934</v>
      </c>
      <c r="O581" s="159" t="str">
        <f t="shared" si="44"/>
        <v/>
      </c>
      <c r="P581" s="63"/>
    </row>
    <row r="582" spans="1:16" hidden="1">
      <c r="A582" s="151" t="s">
        <v>203</v>
      </c>
      <c r="B582" s="34" t="s">
        <v>367</v>
      </c>
      <c r="C582" s="40" t="s">
        <v>139</v>
      </c>
      <c r="D582" s="34" t="s">
        <v>87</v>
      </c>
      <c r="E582" s="257">
        <v>0.05</v>
      </c>
      <c r="F582" s="232">
        <v>2</v>
      </c>
      <c r="G582" s="40" t="s">
        <v>368</v>
      </c>
      <c r="H582" s="29">
        <v>2</v>
      </c>
      <c r="I582" s="9"/>
      <c r="J582" s="9">
        <v>2</v>
      </c>
      <c r="K582" s="9">
        <v>1</v>
      </c>
      <c r="L582" s="9">
        <v>1</v>
      </c>
      <c r="M582" s="9">
        <v>2</v>
      </c>
      <c r="N582" s="185">
        <f t="shared" si="43"/>
        <v>0.37356464144298934</v>
      </c>
      <c r="O582" s="159" t="str">
        <f t="shared" si="44"/>
        <v/>
      </c>
      <c r="P582" s="63"/>
    </row>
    <row r="583" spans="1:16" hidden="1">
      <c r="A583" s="151" t="s">
        <v>203</v>
      </c>
      <c r="B583" s="34" t="s">
        <v>367</v>
      </c>
      <c r="C583" s="40" t="s">
        <v>139</v>
      </c>
      <c r="D583" s="34" t="s">
        <v>88</v>
      </c>
      <c r="E583" s="257">
        <v>5.5E-2</v>
      </c>
      <c r="F583" s="232">
        <v>2</v>
      </c>
      <c r="G583" s="40" t="s">
        <v>368</v>
      </c>
      <c r="H583" s="29">
        <v>2</v>
      </c>
      <c r="I583" s="9"/>
      <c r="J583" s="9">
        <v>2</v>
      </c>
      <c r="K583" s="9">
        <v>1</v>
      </c>
      <c r="L583" s="9">
        <v>1</v>
      </c>
      <c r="M583" s="9">
        <v>2</v>
      </c>
      <c r="N583" s="185">
        <f t="shared" si="43"/>
        <v>0.37356464144298934</v>
      </c>
      <c r="O583" s="159" t="str">
        <f t="shared" si="44"/>
        <v/>
      </c>
      <c r="P583" s="63"/>
    </row>
    <row r="584" spans="1:16" hidden="1">
      <c r="A584" s="151" t="s">
        <v>203</v>
      </c>
      <c r="B584" s="34" t="s">
        <v>367</v>
      </c>
      <c r="C584" s="40" t="s">
        <v>139</v>
      </c>
      <c r="D584" s="34" t="s">
        <v>89</v>
      </c>
      <c r="E584" s="257">
        <v>5.5E-2</v>
      </c>
      <c r="F584" s="232">
        <v>2</v>
      </c>
      <c r="G584" s="40" t="s">
        <v>368</v>
      </c>
      <c r="H584" s="29">
        <v>2</v>
      </c>
      <c r="I584" s="9"/>
      <c r="J584" s="9">
        <v>2</v>
      </c>
      <c r="K584" s="9">
        <v>1</v>
      </c>
      <c r="L584" s="9">
        <v>1</v>
      </c>
      <c r="M584" s="9">
        <v>2</v>
      </c>
      <c r="N584" s="185">
        <f t="shared" si="43"/>
        <v>0.37356464144298934</v>
      </c>
      <c r="O584" s="159" t="str">
        <f t="shared" si="44"/>
        <v/>
      </c>
      <c r="P584" s="63"/>
    </row>
    <row r="585" spans="1:16" hidden="1">
      <c r="A585" s="151" t="s">
        <v>203</v>
      </c>
      <c r="B585" s="34" t="s">
        <v>367</v>
      </c>
      <c r="C585" s="40" t="s">
        <v>139</v>
      </c>
      <c r="D585" s="34" t="s">
        <v>90</v>
      </c>
      <c r="E585" s="257">
        <v>7.4999999999999997E-2</v>
      </c>
      <c r="F585" s="232">
        <v>2</v>
      </c>
      <c r="G585" s="40" t="s">
        <v>368</v>
      </c>
      <c r="H585" s="29">
        <v>2</v>
      </c>
      <c r="I585" s="9"/>
      <c r="J585" s="9">
        <v>2</v>
      </c>
      <c r="K585" s="9">
        <v>1</v>
      </c>
      <c r="L585" s="9">
        <v>1</v>
      </c>
      <c r="M585" s="9">
        <v>2</v>
      </c>
      <c r="N585" s="185">
        <f t="shared" si="43"/>
        <v>0.37356464144298934</v>
      </c>
      <c r="O585" s="159" t="str">
        <f t="shared" si="44"/>
        <v/>
      </c>
      <c r="P585" s="63"/>
    </row>
    <row r="586" spans="1:16" hidden="1">
      <c r="A586" s="151" t="s">
        <v>203</v>
      </c>
      <c r="B586" s="34" t="s">
        <v>367</v>
      </c>
      <c r="C586" s="40" t="s">
        <v>139</v>
      </c>
      <c r="D586" s="34" t="s">
        <v>91</v>
      </c>
      <c r="E586" s="257">
        <v>8.2299999999999998E-2</v>
      </c>
      <c r="F586" s="232">
        <v>2</v>
      </c>
      <c r="G586" s="40" t="s">
        <v>368</v>
      </c>
      <c r="H586" s="29">
        <v>2</v>
      </c>
      <c r="I586" s="9"/>
      <c r="J586" s="9">
        <v>2</v>
      </c>
      <c r="K586" s="9">
        <v>1</v>
      </c>
      <c r="L586" s="9">
        <v>1</v>
      </c>
      <c r="M586" s="9">
        <v>2</v>
      </c>
      <c r="N586" s="185">
        <f t="shared" si="43"/>
        <v>0.37356464144298934</v>
      </c>
      <c r="O586" s="159" t="str">
        <f t="shared" si="44"/>
        <v/>
      </c>
      <c r="P586" s="63"/>
    </row>
    <row r="587" spans="1:16" hidden="1">
      <c r="A587" s="151" t="s">
        <v>367</v>
      </c>
      <c r="B587" s="34" t="s">
        <v>323</v>
      </c>
      <c r="C587" s="40" t="s">
        <v>139</v>
      </c>
      <c r="D587" s="34" t="s">
        <v>139</v>
      </c>
      <c r="E587" s="257">
        <v>0.1045625</v>
      </c>
      <c r="F587" s="232">
        <v>2</v>
      </c>
      <c r="G587" s="40" t="s">
        <v>369</v>
      </c>
      <c r="H587" s="29">
        <v>1</v>
      </c>
      <c r="I587" s="9"/>
      <c r="J587" s="9">
        <v>1</v>
      </c>
      <c r="K587" s="9">
        <v>3</v>
      </c>
      <c r="L587" s="9">
        <v>1</v>
      </c>
      <c r="M587" s="9">
        <v>2</v>
      </c>
      <c r="N587" s="185">
        <f t="shared" si="43"/>
        <v>0.47802211380704585</v>
      </c>
      <c r="O587" s="159" t="str">
        <f t="shared" si="44"/>
        <v/>
      </c>
      <c r="P587" s="63"/>
    </row>
    <row r="588" spans="1:16" hidden="1">
      <c r="A588" s="151" t="s">
        <v>367</v>
      </c>
      <c r="B588" s="34" t="s">
        <v>326</v>
      </c>
      <c r="C588" s="40" t="s">
        <v>139</v>
      </c>
      <c r="D588" s="34" t="s">
        <v>139</v>
      </c>
      <c r="E588" s="257" t="s">
        <v>150</v>
      </c>
      <c r="F588" s="232">
        <v>1</v>
      </c>
      <c r="G588" s="40"/>
      <c r="H588" s="29"/>
      <c r="I588" s="9"/>
      <c r="J588" s="9"/>
      <c r="K588" s="9"/>
      <c r="L588" s="9"/>
      <c r="M588" s="9"/>
      <c r="N588" s="185" t="str">
        <f t="shared" si="43"/>
        <v/>
      </c>
      <c r="O588" s="159" t="str">
        <f t="shared" si="44"/>
        <v/>
      </c>
      <c r="P588" s="63"/>
    </row>
    <row r="589" spans="1:16" hidden="1">
      <c r="A589" s="151" t="s">
        <v>367</v>
      </c>
      <c r="B589" s="34" t="s">
        <v>334</v>
      </c>
      <c r="C589" s="40" t="s">
        <v>139</v>
      </c>
      <c r="D589" s="34" t="s">
        <v>139</v>
      </c>
      <c r="E589" s="257">
        <v>0.25313000000000002</v>
      </c>
      <c r="F589" s="232">
        <v>2</v>
      </c>
      <c r="G589" s="40" t="s">
        <v>370</v>
      </c>
      <c r="H589" s="29">
        <v>1</v>
      </c>
      <c r="I589" s="9"/>
      <c r="J589" s="9">
        <v>1</v>
      </c>
      <c r="K589" s="9">
        <v>3</v>
      </c>
      <c r="L589" s="9">
        <v>3</v>
      </c>
      <c r="M589" s="9">
        <v>2</v>
      </c>
      <c r="N589" s="185">
        <f t="shared" si="43"/>
        <v>0.58256442191643876</v>
      </c>
      <c r="O589" s="159" t="str">
        <f t="shared" si="44"/>
        <v/>
      </c>
      <c r="P589" s="63" t="s">
        <v>371</v>
      </c>
    </row>
    <row r="590" spans="1:16" hidden="1">
      <c r="A590" s="151" t="s">
        <v>39</v>
      </c>
      <c r="B590" s="34" t="s">
        <v>203</v>
      </c>
      <c r="C590" s="40" t="s">
        <v>139</v>
      </c>
      <c r="D590" s="34" t="s">
        <v>85</v>
      </c>
      <c r="E590" s="257">
        <v>1.41E-2</v>
      </c>
      <c r="F590" s="232">
        <v>1</v>
      </c>
      <c r="G590" s="40" t="s">
        <v>140</v>
      </c>
      <c r="H590" s="29">
        <v>2</v>
      </c>
      <c r="I590" s="9">
        <v>2</v>
      </c>
      <c r="J590" s="9">
        <v>2</v>
      </c>
      <c r="K590" s="9">
        <v>1</v>
      </c>
      <c r="L590" s="9">
        <v>1</v>
      </c>
      <c r="M590" s="9">
        <v>2</v>
      </c>
      <c r="N590" s="185">
        <f t="shared" ref="N590:N653" si="45">IF( OR( ISBLANK(H590),ISBLANK(J590), ISBLANK(K590), ISBLANK(L590), ISBLANK(M590) ), "", 1.5*SQRT(   EXP(2.21*(H590-1)) + EXP(2.21*(J590-1)) + EXP(2.21*(K590-1)) + EXP(2.21*(L590-1)) + EXP(2.21*M590)   )/100*2.45 )</f>
        <v>0.37356464144298934</v>
      </c>
      <c r="O590" s="159">
        <f t="shared" ref="O590:O653" si="46">IF( OR( ISBLANK(I590),ISBLANK(J590), ISBLANK(K590), ISBLANK(L590), ISBLANK(M590) ), "", 1.5*SQRT( EXP(2.21*(I590-1)) + EXP(2.21*(J590-1)) + EXP(2.21*(K590-1)) + EXP(2.21*(L590-1)) + EXP(2.21*M590)   )/100*2.45 )</f>
        <v>0.37356464144298934</v>
      </c>
      <c r="P590" s="63"/>
    </row>
    <row r="591" spans="1:16" hidden="1">
      <c r="A591" s="151" t="s">
        <v>39</v>
      </c>
      <c r="B591" s="34" t="s">
        <v>203</v>
      </c>
      <c r="C591" s="40" t="s">
        <v>139</v>
      </c>
      <c r="D591" s="34" t="s">
        <v>86</v>
      </c>
      <c r="E591" s="257">
        <v>8.3099999999999993E-2</v>
      </c>
      <c r="F591" s="232">
        <v>1</v>
      </c>
      <c r="G591" s="40" t="s">
        <v>140</v>
      </c>
      <c r="H591" s="29">
        <v>2</v>
      </c>
      <c r="I591" s="9">
        <v>2</v>
      </c>
      <c r="J591" s="9">
        <v>2</v>
      </c>
      <c r="K591" s="9">
        <v>1</v>
      </c>
      <c r="L591" s="9">
        <v>1</v>
      </c>
      <c r="M591" s="9">
        <v>2</v>
      </c>
      <c r="N591" s="185">
        <f t="shared" si="45"/>
        <v>0.37356464144298934</v>
      </c>
      <c r="O591" s="159">
        <f t="shared" si="46"/>
        <v>0.37356464144298934</v>
      </c>
      <c r="P591" s="63"/>
    </row>
    <row r="592" spans="1:16" hidden="1">
      <c r="A592" s="151" t="s">
        <v>39</v>
      </c>
      <c r="B592" s="34" t="s">
        <v>203</v>
      </c>
      <c r="C592" s="40" t="s">
        <v>139</v>
      </c>
      <c r="D592" s="34" t="s">
        <v>87</v>
      </c>
      <c r="E592" s="257">
        <v>0.38140000000000002</v>
      </c>
      <c r="F592" s="232">
        <v>1</v>
      </c>
      <c r="G592" s="40" t="s">
        <v>140</v>
      </c>
      <c r="H592" s="29">
        <v>2</v>
      </c>
      <c r="I592" s="9">
        <v>2</v>
      </c>
      <c r="J592" s="9">
        <v>2</v>
      </c>
      <c r="K592" s="9">
        <v>1</v>
      </c>
      <c r="L592" s="9">
        <v>1</v>
      </c>
      <c r="M592" s="9">
        <v>2</v>
      </c>
      <c r="N592" s="185">
        <f t="shared" si="45"/>
        <v>0.37356464144298934</v>
      </c>
      <c r="O592" s="159">
        <f t="shared" si="46"/>
        <v>0.37356464144298934</v>
      </c>
      <c r="P592" s="63"/>
    </row>
    <row r="593" spans="1:16" hidden="1">
      <c r="A593" s="151" t="s">
        <v>39</v>
      </c>
      <c r="B593" s="34" t="s">
        <v>203</v>
      </c>
      <c r="C593" s="40" t="s">
        <v>139</v>
      </c>
      <c r="D593" s="34" t="s">
        <v>88</v>
      </c>
      <c r="E593" s="257">
        <v>0.79759999999999998</v>
      </c>
      <c r="F593" s="232">
        <v>1</v>
      </c>
      <c r="G593" s="40" t="s">
        <v>140</v>
      </c>
      <c r="H593" s="29">
        <v>2</v>
      </c>
      <c r="I593" s="9">
        <v>2</v>
      </c>
      <c r="J593" s="9">
        <v>2</v>
      </c>
      <c r="K593" s="9">
        <v>1</v>
      </c>
      <c r="L593" s="9">
        <v>1</v>
      </c>
      <c r="M593" s="9">
        <v>2</v>
      </c>
      <c r="N593" s="185">
        <f t="shared" si="45"/>
        <v>0.37356464144298934</v>
      </c>
      <c r="O593" s="159">
        <f t="shared" si="46"/>
        <v>0.37356464144298934</v>
      </c>
      <c r="P593" s="63"/>
    </row>
    <row r="594" spans="1:16" hidden="1">
      <c r="A594" s="151" t="s">
        <v>39</v>
      </c>
      <c r="B594" s="34" t="s">
        <v>203</v>
      </c>
      <c r="C594" s="40" t="s">
        <v>139</v>
      </c>
      <c r="D594" s="34" t="s">
        <v>89</v>
      </c>
      <c r="E594" s="257">
        <v>0</v>
      </c>
      <c r="F594" s="232">
        <v>1</v>
      </c>
      <c r="G594" s="40" t="s">
        <v>140</v>
      </c>
      <c r="H594" s="29"/>
      <c r="I594" s="9"/>
      <c r="J594" s="9"/>
      <c r="K594" s="9"/>
      <c r="L594" s="9"/>
      <c r="M594" s="9"/>
      <c r="N594" s="185" t="str">
        <f t="shared" si="45"/>
        <v/>
      </c>
      <c r="O594" s="159" t="str">
        <f t="shared" si="46"/>
        <v/>
      </c>
      <c r="P594" s="63"/>
    </row>
    <row r="595" spans="1:16" hidden="1">
      <c r="A595" s="151" t="s">
        <v>39</v>
      </c>
      <c r="B595" s="34" t="s">
        <v>203</v>
      </c>
      <c r="C595" s="40" t="s">
        <v>139</v>
      </c>
      <c r="D595" s="34" t="s">
        <v>90</v>
      </c>
      <c r="E595" s="257">
        <v>0.45450000000000002</v>
      </c>
      <c r="F595" s="232">
        <v>1</v>
      </c>
      <c r="G595" s="40" t="s">
        <v>140</v>
      </c>
      <c r="H595" s="29">
        <v>2</v>
      </c>
      <c r="I595" s="9">
        <v>2</v>
      </c>
      <c r="J595" s="9">
        <v>2</v>
      </c>
      <c r="K595" s="9">
        <v>1</v>
      </c>
      <c r="L595" s="9">
        <v>1</v>
      </c>
      <c r="M595" s="9">
        <v>2</v>
      </c>
      <c r="N595" s="185">
        <f t="shared" si="45"/>
        <v>0.37356464144298934</v>
      </c>
      <c r="O595" s="159">
        <f t="shared" si="46"/>
        <v>0.37356464144298934</v>
      </c>
      <c r="P595" s="63"/>
    </row>
    <row r="596" spans="1:16" hidden="1">
      <c r="A596" s="151" t="s">
        <v>39</v>
      </c>
      <c r="B596" s="34" t="s">
        <v>203</v>
      </c>
      <c r="C596" s="40" t="s">
        <v>139</v>
      </c>
      <c r="D596" s="34" t="s">
        <v>91</v>
      </c>
      <c r="E596" s="257">
        <v>0.44280000000000003</v>
      </c>
      <c r="F596" s="232">
        <v>2</v>
      </c>
      <c r="G596" s="40" t="s">
        <v>140</v>
      </c>
      <c r="H596" s="29">
        <v>2</v>
      </c>
      <c r="I596" s="9">
        <v>2</v>
      </c>
      <c r="J596" s="9">
        <v>2</v>
      </c>
      <c r="K596" s="9">
        <v>1</v>
      </c>
      <c r="L596" s="9">
        <v>1</v>
      </c>
      <c r="M596" s="9">
        <v>2</v>
      </c>
      <c r="N596" s="185">
        <f t="shared" si="45"/>
        <v>0.37356464144298934</v>
      </c>
      <c r="O596" s="159">
        <f t="shared" si="46"/>
        <v>0.37356464144298934</v>
      </c>
      <c r="P596" s="63" t="s">
        <v>226</v>
      </c>
    </row>
    <row r="597" spans="1:16" hidden="1">
      <c r="A597" s="151" t="s">
        <v>39</v>
      </c>
      <c r="B597" s="34" t="s">
        <v>203</v>
      </c>
      <c r="C597" s="40" t="s">
        <v>139</v>
      </c>
      <c r="D597" s="34" t="s">
        <v>98</v>
      </c>
      <c r="E597" s="257">
        <v>0.20723549488054607</v>
      </c>
      <c r="F597" s="232">
        <v>1</v>
      </c>
      <c r="G597" s="40" t="s">
        <v>141</v>
      </c>
      <c r="H597" s="29">
        <v>2</v>
      </c>
      <c r="I597" s="9">
        <v>1</v>
      </c>
      <c r="J597" s="9">
        <v>2</v>
      </c>
      <c r="K597" s="9">
        <v>2</v>
      </c>
      <c r="L597" s="9">
        <v>1</v>
      </c>
      <c r="M597" s="9">
        <v>2</v>
      </c>
      <c r="N597" s="185">
        <f t="shared" si="45"/>
        <v>0.38795788889711302</v>
      </c>
      <c r="O597" s="159">
        <f t="shared" si="46"/>
        <v>0.37356464144298934</v>
      </c>
      <c r="P597" s="63"/>
    </row>
    <row r="598" spans="1:16" hidden="1">
      <c r="A598" s="151" t="s">
        <v>39</v>
      </c>
      <c r="B598" s="34" t="s">
        <v>236</v>
      </c>
      <c r="C598" s="40" t="s">
        <v>139</v>
      </c>
      <c r="D598" s="34" t="s">
        <v>85</v>
      </c>
      <c r="E598" s="257">
        <v>0.65669999999999995</v>
      </c>
      <c r="F598" s="232">
        <v>1</v>
      </c>
      <c r="G598" s="40" t="s">
        <v>140</v>
      </c>
      <c r="H598" s="29">
        <v>2</v>
      </c>
      <c r="I598" s="9">
        <v>2</v>
      </c>
      <c r="J598" s="9">
        <v>2</v>
      </c>
      <c r="K598" s="9">
        <v>1</v>
      </c>
      <c r="L598" s="9">
        <v>1</v>
      </c>
      <c r="M598" s="9">
        <v>2</v>
      </c>
      <c r="N598" s="185">
        <f t="shared" si="45"/>
        <v>0.37356464144298934</v>
      </c>
      <c r="O598" s="159">
        <f t="shared" si="46"/>
        <v>0.37356464144298934</v>
      </c>
      <c r="P598" s="63"/>
    </row>
    <row r="599" spans="1:16" hidden="1">
      <c r="A599" s="151" t="s">
        <v>39</v>
      </c>
      <c r="B599" s="34" t="s">
        <v>236</v>
      </c>
      <c r="C599" s="40" t="s">
        <v>139</v>
      </c>
      <c r="D599" s="34" t="s">
        <v>86</v>
      </c>
      <c r="E599" s="257">
        <v>1.2200000000000001E-2</v>
      </c>
      <c r="F599" s="232">
        <v>1</v>
      </c>
      <c r="G599" s="40" t="s">
        <v>140</v>
      </c>
      <c r="H599" s="29">
        <v>2</v>
      </c>
      <c r="I599" s="9">
        <v>2</v>
      </c>
      <c r="J599" s="9">
        <v>2</v>
      </c>
      <c r="K599" s="9">
        <v>1</v>
      </c>
      <c r="L599" s="9">
        <v>1</v>
      </c>
      <c r="M599" s="9">
        <v>2</v>
      </c>
      <c r="N599" s="185">
        <f t="shared" si="45"/>
        <v>0.37356464144298934</v>
      </c>
      <c r="O599" s="159">
        <f t="shared" si="46"/>
        <v>0.37356464144298934</v>
      </c>
      <c r="P599" s="63"/>
    </row>
    <row r="600" spans="1:16" hidden="1">
      <c r="A600" s="151" t="s">
        <v>39</v>
      </c>
      <c r="B600" s="34" t="s">
        <v>236</v>
      </c>
      <c r="C600" s="40" t="s">
        <v>139</v>
      </c>
      <c r="D600" s="34" t="s">
        <v>87</v>
      </c>
      <c r="E600" s="257">
        <v>6.9599999999999995E-2</v>
      </c>
      <c r="F600" s="232">
        <v>1</v>
      </c>
      <c r="G600" s="40" t="s">
        <v>140</v>
      </c>
      <c r="H600" s="29">
        <v>2</v>
      </c>
      <c r="I600" s="9">
        <v>2</v>
      </c>
      <c r="J600" s="9">
        <v>2</v>
      </c>
      <c r="K600" s="9">
        <v>1</v>
      </c>
      <c r="L600" s="9">
        <v>1</v>
      </c>
      <c r="M600" s="9">
        <v>2</v>
      </c>
      <c r="N600" s="185">
        <f t="shared" si="45"/>
        <v>0.37356464144298934</v>
      </c>
      <c r="O600" s="159">
        <f t="shared" si="46"/>
        <v>0.37356464144298934</v>
      </c>
      <c r="P600" s="63"/>
    </row>
    <row r="601" spans="1:16" hidden="1">
      <c r="A601" s="151" t="s">
        <v>39</v>
      </c>
      <c r="B601" s="34" t="s">
        <v>236</v>
      </c>
      <c r="C601" s="40" t="s">
        <v>139</v>
      </c>
      <c r="D601" s="34" t="s">
        <v>88</v>
      </c>
      <c r="E601" s="257">
        <v>3.5700000000000003E-2</v>
      </c>
      <c r="F601" s="232">
        <v>1</v>
      </c>
      <c r="G601" s="40" t="s">
        <v>140</v>
      </c>
      <c r="H601" s="29">
        <v>2</v>
      </c>
      <c r="I601" s="9">
        <v>2</v>
      </c>
      <c r="J601" s="9">
        <v>2</v>
      </c>
      <c r="K601" s="9">
        <v>1</v>
      </c>
      <c r="L601" s="9">
        <v>1</v>
      </c>
      <c r="M601" s="9">
        <v>2</v>
      </c>
      <c r="N601" s="185">
        <f t="shared" si="45"/>
        <v>0.37356464144298934</v>
      </c>
      <c r="O601" s="159">
        <f t="shared" si="46"/>
        <v>0.37356464144298934</v>
      </c>
      <c r="P601" s="63"/>
    </row>
    <row r="602" spans="1:16" hidden="1">
      <c r="A602" s="151" t="s">
        <v>39</v>
      </c>
      <c r="B602" s="34" t="s">
        <v>236</v>
      </c>
      <c r="C602" s="40" t="s">
        <v>139</v>
      </c>
      <c r="D602" s="34" t="s">
        <v>89</v>
      </c>
      <c r="E602" s="257">
        <v>0</v>
      </c>
      <c r="F602" s="232">
        <v>1</v>
      </c>
      <c r="G602" s="40" t="s">
        <v>140</v>
      </c>
      <c r="H602" s="29"/>
      <c r="I602" s="9"/>
      <c r="J602" s="9"/>
      <c r="K602" s="9"/>
      <c r="L602" s="9"/>
      <c r="M602" s="9"/>
      <c r="N602" s="185" t="str">
        <f t="shared" si="45"/>
        <v/>
      </c>
      <c r="O602" s="159" t="str">
        <f t="shared" si="46"/>
        <v/>
      </c>
      <c r="P602" s="63"/>
    </row>
    <row r="603" spans="1:16" hidden="1">
      <c r="A603" s="151" t="s">
        <v>39</v>
      </c>
      <c r="B603" s="34" t="s">
        <v>236</v>
      </c>
      <c r="C603" s="40" t="s">
        <v>139</v>
      </c>
      <c r="D603" s="34" t="s">
        <v>90</v>
      </c>
      <c r="E603" s="257">
        <v>7.9500000000000001E-2</v>
      </c>
      <c r="F603" s="232">
        <v>1</v>
      </c>
      <c r="G603" s="40" t="s">
        <v>140</v>
      </c>
      <c r="H603" s="29">
        <v>2</v>
      </c>
      <c r="I603" s="9">
        <v>2</v>
      </c>
      <c r="J603" s="9">
        <v>2</v>
      </c>
      <c r="K603" s="9">
        <v>1</v>
      </c>
      <c r="L603" s="9">
        <v>1</v>
      </c>
      <c r="M603" s="9">
        <v>2</v>
      </c>
      <c r="N603" s="185">
        <f t="shared" si="45"/>
        <v>0.37356464144298934</v>
      </c>
      <c r="O603" s="159">
        <f t="shared" si="46"/>
        <v>0.37356464144298934</v>
      </c>
      <c r="P603" s="63"/>
    </row>
    <row r="604" spans="1:16" hidden="1">
      <c r="A604" s="151" t="s">
        <v>39</v>
      </c>
      <c r="B604" s="34" t="s">
        <v>236</v>
      </c>
      <c r="C604" s="40" t="s">
        <v>139</v>
      </c>
      <c r="D604" s="34" t="s">
        <v>91</v>
      </c>
      <c r="E604" s="257">
        <v>0.01</v>
      </c>
      <c r="F604" s="232">
        <v>1</v>
      </c>
      <c r="G604" s="40" t="s">
        <v>140</v>
      </c>
      <c r="H604" s="29">
        <v>2</v>
      </c>
      <c r="I604" s="9">
        <v>2</v>
      </c>
      <c r="J604" s="9">
        <v>2</v>
      </c>
      <c r="K604" s="9">
        <v>1</v>
      </c>
      <c r="L604" s="9">
        <v>1</v>
      </c>
      <c r="M604" s="9">
        <v>2</v>
      </c>
      <c r="N604" s="185">
        <f t="shared" si="45"/>
        <v>0.37356464144298934</v>
      </c>
      <c r="O604" s="159">
        <f t="shared" si="46"/>
        <v>0.37356464144298934</v>
      </c>
      <c r="P604" s="63"/>
    </row>
    <row r="605" spans="1:16" hidden="1">
      <c r="A605" s="151" t="s">
        <v>39</v>
      </c>
      <c r="B605" s="34" t="s">
        <v>236</v>
      </c>
      <c r="C605" s="40" t="s">
        <v>139</v>
      </c>
      <c r="D605" s="34" t="s">
        <v>98</v>
      </c>
      <c r="E605" s="257">
        <v>0</v>
      </c>
      <c r="F605" s="232">
        <v>1</v>
      </c>
      <c r="G605" s="40" t="s">
        <v>141</v>
      </c>
      <c r="H605" s="29"/>
      <c r="I605" s="9"/>
      <c r="J605" s="9"/>
      <c r="K605" s="9"/>
      <c r="L605" s="9"/>
      <c r="M605" s="9"/>
      <c r="N605" s="185" t="str">
        <f t="shared" si="45"/>
        <v/>
      </c>
      <c r="O605" s="159" t="str">
        <f t="shared" si="46"/>
        <v/>
      </c>
      <c r="P605" s="63"/>
    </row>
    <row r="606" spans="1:16" hidden="1">
      <c r="A606" s="151" t="s">
        <v>39</v>
      </c>
      <c r="B606" s="34" t="s">
        <v>237</v>
      </c>
      <c r="C606" s="40" t="s">
        <v>139</v>
      </c>
      <c r="D606" s="34" t="s">
        <v>85</v>
      </c>
      <c r="E606" s="257">
        <v>0</v>
      </c>
      <c r="F606" s="232">
        <v>1</v>
      </c>
      <c r="G606" s="40" t="s">
        <v>140</v>
      </c>
      <c r="H606" s="29"/>
      <c r="I606" s="9"/>
      <c r="J606" s="9"/>
      <c r="K606" s="9"/>
      <c r="L606" s="9"/>
      <c r="M606" s="9"/>
      <c r="N606" s="185" t="str">
        <f t="shared" si="45"/>
        <v/>
      </c>
      <c r="O606" s="159" t="str">
        <f t="shared" si="46"/>
        <v/>
      </c>
      <c r="P606" s="63"/>
    </row>
    <row r="607" spans="1:16" hidden="1">
      <c r="A607" s="151" t="s">
        <v>39</v>
      </c>
      <c r="B607" s="34" t="s">
        <v>237</v>
      </c>
      <c r="C607" s="40" t="s">
        <v>139</v>
      </c>
      <c r="D607" s="34" t="s">
        <v>86</v>
      </c>
      <c r="E607" s="257">
        <v>0.1638</v>
      </c>
      <c r="F607" s="232">
        <v>1</v>
      </c>
      <c r="G607" s="40" t="s">
        <v>140</v>
      </c>
      <c r="H607" s="29">
        <v>2</v>
      </c>
      <c r="I607" s="9">
        <v>2</v>
      </c>
      <c r="J607" s="9">
        <v>2</v>
      </c>
      <c r="K607" s="9">
        <v>1</v>
      </c>
      <c r="L607" s="9">
        <v>1</v>
      </c>
      <c r="M607" s="9">
        <v>2</v>
      </c>
      <c r="N607" s="185">
        <f t="shared" si="45"/>
        <v>0.37356464144298934</v>
      </c>
      <c r="O607" s="159">
        <f t="shared" si="46"/>
        <v>0.37356464144298934</v>
      </c>
      <c r="P607" s="63"/>
    </row>
    <row r="608" spans="1:16" hidden="1">
      <c r="A608" s="151" t="s">
        <v>39</v>
      </c>
      <c r="B608" s="34" t="s">
        <v>237</v>
      </c>
      <c r="C608" s="40" t="s">
        <v>139</v>
      </c>
      <c r="D608" s="34" t="s">
        <v>87</v>
      </c>
      <c r="E608" s="257">
        <v>0.20619999999999999</v>
      </c>
      <c r="F608" s="232">
        <v>1</v>
      </c>
      <c r="G608" s="40" t="s">
        <v>140</v>
      </c>
      <c r="H608" s="29">
        <v>2</v>
      </c>
      <c r="I608" s="9">
        <v>2</v>
      </c>
      <c r="J608" s="9">
        <v>2</v>
      </c>
      <c r="K608" s="9">
        <v>1</v>
      </c>
      <c r="L608" s="9">
        <v>1</v>
      </c>
      <c r="M608" s="9">
        <v>2</v>
      </c>
      <c r="N608" s="185">
        <f t="shared" si="45"/>
        <v>0.37356464144298934</v>
      </c>
      <c r="O608" s="159">
        <f t="shared" si="46"/>
        <v>0.37356464144298934</v>
      </c>
      <c r="P608" s="63"/>
    </row>
    <row r="609" spans="1:16" hidden="1">
      <c r="A609" s="151" t="s">
        <v>39</v>
      </c>
      <c r="B609" s="34" t="s">
        <v>237</v>
      </c>
      <c r="C609" s="40" t="s">
        <v>139</v>
      </c>
      <c r="D609" s="34" t="s">
        <v>88</v>
      </c>
      <c r="E609" s="257">
        <v>0.15479999999999999</v>
      </c>
      <c r="F609" s="232">
        <v>1</v>
      </c>
      <c r="G609" s="40" t="s">
        <v>140</v>
      </c>
      <c r="H609" s="29">
        <v>2</v>
      </c>
      <c r="I609" s="9">
        <v>2</v>
      </c>
      <c r="J609" s="9">
        <v>2</v>
      </c>
      <c r="K609" s="9">
        <v>1</v>
      </c>
      <c r="L609" s="9">
        <v>1</v>
      </c>
      <c r="M609" s="9">
        <v>2</v>
      </c>
      <c r="N609" s="185">
        <f t="shared" si="45"/>
        <v>0.37356464144298934</v>
      </c>
      <c r="O609" s="159">
        <f t="shared" si="46"/>
        <v>0.37356464144298934</v>
      </c>
      <c r="P609" s="63"/>
    </row>
    <row r="610" spans="1:16" hidden="1">
      <c r="A610" s="151" t="s">
        <v>39</v>
      </c>
      <c r="B610" s="34" t="s">
        <v>237</v>
      </c>
      <c r="C610" s="40" t="s">
        <v>139</v>
      </c>
      <c r="D610" s="34" t="s">
        <v>89</v>
      </c>
      <c r="E610" s="257">
        <v>1</v>
      </c>
      <c r="F610" s="232">
        <v>1</v>
      </c>
      <c r="G610" s="40" t="s">
        <v>140</v>
      </c>
      <c r="H610" s="29"/>
      <c r="I610" s="9"/>
      <c r="J610" s="9"/>
      <c r="K610" s="9"/>
      <c r="L610" s="9"/>
      <c r="M610" s="9"/>
      <c r="N610" s="185" t="str">
        <f t="shared" si="45"/>
        <v/>
      </c>
      <c r="O610" s="159" t="str">
        <f t="shared" si="46"/>
        <v/>
      </c>
      <c r="P610" s="63"/>
    </row>
    <row r="611" spans="1:16" hidden="1">
      <c r="A611" s="151" t="s">
        <v>39</v>
      </c>
      <c r="B611" s="34" t="s">
        <v>237</v>
      </c>
      <c r="C611" s="40" t="s">
        <v>139</v>
      </c>
      <c r="D611" s="34" t="s">
        <v>90</v>
      </c>
      <c r="E611" s="257">
        <v>0.375</v>
      </c>
      <c r="F611" s="232">
        <v>1</v>
      </c>
      <c r="G611" s="40" t="s">
        <v>140</v>
      </c>
      <c r="H611" s="29">
        <v>2</v>
      </c>
      <c r="I611" s="9">
        <v>2</v>
      </c>
      <c r="J611" s="9">
        <v>2</v>
      </c>
      <c r="K611" s="9">
        <v>1</v>
      </c>
      <c r="L611" s="9">
        <v>1</v>
      </c>
      <c r="M611" s="9">
        <v>2</v>
      </c>
      <c r="N611" s="185">
        <f t="shared" si="45"/>
        <v>0.37356464144298934</v>
      </c>
      <c r="O611" s="159">
        <f t="shared" si="46"/>
        <v>0.37356464144298934</v>
      </c>
      <c r="P611" s="63"/>
    </row>
    <row r="612" spans="1:16" hidden="1">
      <c r="A612" s="151" t="s">
        <v>39</v>
      </c>
      <c r="B612" s="34" t="s">
        <v>237</v>
      </c>
      <c r="C612" s="40" t="s">
        <v>139</v>
      </c>
      <c r="D612" s="34" t="s">
        <v>91</v>
      </c>
      <c r="E612" s="257">
        <v>5.9700000000000003E-2</v>
      </c>
      <c r="F612" s="232">
        <v>1</v>
      </c>
      <c r="G612" s="40" t="s">
        <v>140</v>
      </c>
      <c r="H612" s="29">
        <v>2</v>
      </c>
      <c r="I612" s="9">
        <v>2</v>
      </c>
      <c r="J612" s="9">
        <v>2</v>
      </c>
      <c r="K612" s="9">
        <v>1</v>
      </c>
      <c r="L612" s="9">
        <v>1</v>
      </c>
      <c r="M612" s="9">
        <v>2</v>
      </c>
      <c r="N612" s="185">
        <f t="shared" si="45"/>
        <v>0.37356464144298934</v>
      </c>
      <c r="O612" s="159">
        <f t="shared" si="46"/>
        <v>0.37356464144298934</v>
      </c>
      <c r="P612" s="63"/>
    </row>
    <row r="613" spans="1:16" hidden="1">
      <c r="A613" s="151" t="s">
        <v>39</v>
      </c>
      <c r="B613" s="34" t="s">
        <v>237</v>
      </c>
      <c r="C613" s="40" t="s">
        <v>139</v>
      </c>
      <c r="D613" s="34" t="s">
        <v>98</v>
      </c>
      <c r="E613" s="257">
        <v>0.36860068259385664</v>
      </c>
      <c r="F613" s="232">
        <v>1</v>
      </c>
      <c r="G613" s="40" t="s">
        <v>141</v>
      </c>
      <c r="H613" s="29">
        <v>2</v>
      </c>
      <c r="I613" s="9">
        <v>1</v>
      </c>
      <c r="J613" s="9">
        <v>2</v>
      </c>
      <c r="K613" s="9">
        <v>2</v>
      </c>
      <c r="L613" s="9">
        <v>1</v>
      </c>
      <c r="M613" s="9">
        <v>2</v>
      </c>
      <c r="N613" s="185">
        <f t="shared" si="45"/>
        <v>0.38795788889711302</v>
      </c>
      <c r="O613" s="159">
        <f t="shared" si="46"/>
        <v>0.37356464144298934</v>
      </c>
      <c r="P613" s="63"/>
    </row>
    <row r="614" spans="1:16" hidden="1">
      <c r="A614" s="151" t="s">
        <v>121</v>
      </c>
      <c r="B614" s="34" t="s">
        <v>152</v>
      </c>
      <c r="C614" s="40" t="s">
        <v>139</v>
      </c>
      <c r="D614" s="34" t="s">
        <v>86</v>
      </c>
      <c r="E614" s="257">
        <v>0</v>
      </c>
      <c r="F614" s="232">
        <v>1</v>
      </c>
      <c r="G614" s="40"/>
      <c r="H614" s="29"/>
      <c r="I614" s="9"/>
      <c r="J614" s="9"/>
      <c r="K614" s="9"/>
      <c r="L614" s="9"/>
      <c r="M614" s="9"/>
      <c r="N614" s="185" t="str">
        <f t="shared" si="45"/>
        <v/>
      </c>
      <c r="O614" s="159" t="str">
        <f t="shared" si="46"/>
        <v/>
      </c>
      <c r="P614" s="63"/>
    </row>
    <row r="615" spans="1:16" hidden="1">
      <c r="A615" s="151" t="s">
        <v>121</v>
      </c>
      <c r="B615" s="34" t="s">
        <v>152</v>
      </c>
      <c r="C615" s="40" t="s">
        <v>139</v>
      </c>
      <c r="D615" s="34" t="s">
        <v>87</v>
      </c>
      <c r="E615" s="257">
        <v>0.14328135279788046</v>
      </c>
      <c r="F615" s="232">
        <v>1</v>
      </c>
      <c r="G615" s="40"/>
      <c r="H615" s="29">
        <v>3</v>
      </c>
      <c r="I615" s="9">
        <v>3</v>
      </c>
      <c r="J615" s="9">
        <v>2</v>
      </c>
      <c r="K615" s="9">
        <v>2</v>
      </c>
      <c r="L615" s="9">
        <v>1</v>
      </c>
      <c r="M615" s="9">
        <v>2</v>
      </c>
      <c r="N615" s="185">
        <f t="shared" si="45"/>
        <v>0.50042652380814845</v>
      </c>
      <c r="O615" s="159">
        <f t="shared" si="46"/>
        <v>0.50042652380814845</v>
      </c>
      <c r="P615" s="63"/>
    </row>
    <row r="616" spans="1:16" hidden="1">
      <c r="A616" s="151" t="s">
        <v>121</v>
      </c>
      <c r="B616" s="34" t="s">
        <v>152</v>
      </c>
      <c r="C616" s="40" t="s">
        <v>139</v>
      </c>
      <c r="D616" s="34" t="s">
        <v>88</v>
      </c>
      <c r="E616" s="257">
        <v>0</v>
      </c>
      <c r="F616" s="232">
        <v>1</v>
      </c>
      <c r="G616" s="40"/>
      <c r="H616" s="29"/>
      <c r="I616" s="9"/>
      <c r="J616" s="9"/>
      <c r="K616" s="9"/>
      <c r="L616" s="9"/>
      <c r="M616" s="9"/>
      <c r="N616" s="185" t="str">
        <f t="shared" si="45"/>
        <v/>
      </c>
      <c r="O616" s="159" t="str">
        <f t="shared" si="46"/>
        <v/>
      </c>
      <c r="P616" s="63"/>
    </row>
    <row r="617" spans="1:16" hidden="1">
      <c r="A617" s="151" t="s">
        <v>121</v>
      </c>
      <c r="B617" s="34" t="s">
        <v>152</v>
      </c>
      <c r="C617" s="40" t="s">
        <v>139</v>
      </c>
      <c r="D617" s="34" t="s">
        <v>89</v>
      </c>
      <c r="E617" s="257">
        <v>0</v>
      </c>
      <c r="F617" s="232">
        <v>1</v>
      </c>
      <c r="G617" s="40"/>
      <c r="H617" s="29"/>
      <c r="I617" s="9"/>
      <c r="J617" s="9"/>
      <c r="K617" s="9"/>
      <c r="L617" s="9"/>
      <c r="M617" s="9"/>
      <c r="N617" s="185" t="str">
        <f t="shared" si="45"/>
        <v/>
      </c>
      <c r="O617" s="159" t="str">
        <f t="shared" si="46"/>
        <v/>
      </c>
      <c r="P617" s="63"/>
    </row>
    <row r="618" spans="1:16" hidden="1">
      <c r="A618" s="151" t="s">
        <v>121</v>
      </c>
      <c r="B618" s="34" t="s">
        <v>152</v>
      </c>
      <c r="C618" s="40" t="s">
        <v>139</v>
      </c>
      <c r="D618" s="34" t="s">
        <v>90</v>
      </c>
      <c r="E618" s="257">
        <v>0</v>
      </c>
      <c r="F618" s="232">
        <v>1</v>
      </c>
      <c r="G618" s="40"/>
      <c r="H618" s="29"/>
      <c r="I618" s="9"/>
      <c r="J618" s="9"/>
      <c r="K618" s="9"/>
      <c r="L618" s="9"/>
      <c r="M618" s="9"/>
      <c r="N618" s="185" t="str">
        <f t="shared" si="45"/>
        <v/>
      </c>
      <c r="O618" s="159" t="str">
        <f t="shared" si="46"/>
        <v/>
      </c>
      <c r="P618" s="63"/>
    </row>
    <row r="619" spans="1:16" hidden="1">
      <c r="A619" s="151" t="s">
        <v>121</v>
      </c>
      <c r="B619" s="34" t="s">
        <v>152</v>
      </c>
      <c r="C619" s="40" t="s">
        <v>139</v>
      </c>
      <c r="D619" s="34" t="s">
        <v>91</v>
      </c>
      <c r="E619" s="257">
        <v>0.15050289033535363</v>
      </c>
      <c r="F619" s="232">
        <v>1</v>
      </c>
      <c r="G619" s="40"/>
      <c r="H619" s="29">
        <v>3</v>
      </c>
      <c r="I619" s="9">
        <v>3</v>
      </c>
      <c r="J619" s="9">
        <v>2</v>
      </c>
      <c r="K619" s="9">
        <v>2</v>
      </c>
      <c r="L619" s="9">
        <v>1</v>
      </c>
      <c r="M619" s="9">
        <v>2</v>
      </c>
      <c r="N619" s="185">
        <f t="shared" si="45"/>
        <v>0.50042652380814845</v>
      </c>
      <c r="O619" s="159">
        <f t="shared" si="46"/>
        <v>0.50042652380814845</v>
      </c>
      <c r="P619" s="63"/>
    </row>
    <row r="620" spans="1:16" hidden="1">
      <c r="A620" s="151" t="s">
        <v>121</v>
      </c>
      <c r="B620" s="34" t="s">
        <v>152</v>
      </c>
      <c r="C620" s="40" t="s">
        <v>139</v>
      </c>
      <c r="D620" s="34" t="s">
        <v>95</v>
      </c>
      <c r="E620" s="257">
        <v>0.11589508747504616</v>
      </c>
      <c r="F620" s="232">
        <v>1</v>
      </c>
      <c r="G620" s="40"/>
      <c r="H620" s="29">
        <v>3</v>
      </c>
      <c r="I620" s="9">
        <v>4</v>
      </c>
      <c r="J620" s="9">
        <v>2</v>
      </c>
      <c r="K620" s="9">
        <v>2</v>
      </c>
      <c r="L620" s="9">
        <v>1</v>
      </c>
      <c r="M620" s="9">
        <v>2</v>
      </c>
      <c r="N620" s="185">
        <f t="shared" si="45"/>
        <v>0.50042652380814845</v>
      </c>
      <c r="O620" s="159">
        <f t="shared" si="46"/>
        <v>1.0776024280428556</v>
      </c>
      <c r="P620" s="63"/>
    </row>
    <row r="621" spans="1:16" hidden="1">
      <c r="A621" s="151" t="s">
        <v>121</v>
      </c>
      <c r="B621" s="34" t="s">
        <v>152</v>
      </c>
      <c r="C621" s="40" t="s">
        <v>139</v>
      </c>
      <c r="D621" s="34" t="s">
        <v>99</v>
      </c>
      <c r="E621" s="257">
        <v>0</v>
      </c>
      <c r="F621" s="232">
        <v>1</v>
      </c>
      <c r="G621" s="40"/>
      <c r="H621" s="29"/>
      <c r="I621" s="9"/>
      <c r="J621" s="9"/>
      <c r="K621" s="9"/>
      <c r="L621" s="9"/>
      <c r="M621" s="9"/>
      <c r="N621" s="185" t="str">
        <f t="shared" si="45"/>
        <v/>
      </c>
      <c r="O621" s="159" t="str">
        <f t="shared" si="46"/>
        <v/>
      </c>
      <c r="P621" s="63"/>
    </row>
    <row r="622" spans="1:16" hidden="1">
      <c r="A622" s="151" t="s">
        <v>121</v>
      </c>
      <c r="B622" s="34" t="s">
        <v>170</v>
      </c>
      <c r="C622" s="40" t="s">
        <v>139</v>
      </c>
      <c r="D622" s="34" t="s">
        <v>85</v>
      </c>
      <c r="E622" s="257">
        <v>0</v>
      </c>
      <c r="F622" s="232">
        <v>1</v>
      </c>
      <c r="G622" s="40"/>
      <c r="H622" s="29"/>
      <c r="I622" s="9"/>
      <c r="J622" s="9"/>
      <c r="K622" s="9"/>
      <c r="L622" s="9"/>
      <c r="M622" s="9"/>
      <c r="N622" s="185" t="str">
        <f t="shared" si="45"/>
        <v/>
      </c>
      <c r="O622" s="159" t="str">
        <f t="shared" si="46"/>
        <v/>
      </c>
      <c r="P622" s="63"/>
    </row>
    <row r="623" spans="1:16" hidden="1">
      <c r="A623" s="151" t="s">
        <v>228</v>
      </c>
      <c r="B623" s="34" t="s">
        <v>231</v>
      </c>
      <c r="C623" s="40" t="s">
        <v>139</v>
      </c>
      <c r="D623" s="34" t="s">
        <v>139</v>
      </c>
      <c r="E623" s="257">
        <v>0.52205999999999997</v>
      </c>
      <c r="F623" s="232">
        <v>2</v>
      </c>
      <c r="G623" s="40" t="s">
        <v>372</v>
      </c>
      <c r="H623" s="29">
        <v>3</v>
      </c>
      <c r="I623" s="9"/>
      <c r="J623" s="9">
        <v>3</v>
      </c>
      <c r="K623" s="9">
        <v>3</v>
      </c>
      <c r="L623" s="9">
        <v>3</v>
      </c>
      <c r="M623" s="9">
        <v>3</v>
      </c>
      <c r="N623" s="185">
        <f t="shared" si="45"/>
        <v>1.2132328390150593</v>
      </c>
      <c r="O623" s="159" t="str">
        <f t="shared" si="46"/>
        <v/>
      </c>
      <c r="P623" s="63" t="s">
        <v>373</v>
      </c>
    </row>
    <row r="624" spans="1:16" hidden="1">
      <c r="A624" s="151" t="s">
        <v>228</v>
      </c>
      <c r="B624" s="34" t="s">
        <v>231</v>
      </c>
      <c r="C624" s="40" t="s">
        <v>139</v>
      </c>
      <c r="D624" s="34" t="s">
        <v>139</v>
      </c>
      <c r="E624" s="257">
        <v>0.19137000000000001</v>
      </c>
      <c r="F624" s="232">
        <v>2</v>
      </c>
      <c r="G624" s="40" t="s">
        <v>372</v>
      </c>
      <c r="H624" s="29">
        <v>3</v>
      </c>
      <c r="I624" s="9"/>
      <c r="J624" s="9">
        <v>3</v>
      </c>
      <c r="K624" s="9">
        <v>3</v>
      </c>
      <c r="L624" s="9">
        <v>3</v>
      </c>
      <c r="M624" s="9">
        <v>3</v>
      </c>
      <c r="N624" s="185">
        <f t="shared" si="45"/>
        <v>1.2132328390150593</v>
      </c>
      <c r="O624" s="159" t="str">
        <f t="shared" si="46"/>
        <v/>
      </c>
      <c r="P624" s="63" t="s">
        <v>374</v>
      </c>
    </row>
    <row r="625" spans="1:16" hidden="1">
      <c r="A625" s="151" t="s">
        <v>228</v>
      </c>
      <c r="B625" s="34" t="s">
        <v>231</v>
      </c>
      <c r="C625" s="40" t="s">
        <v>139</v>
      </c>
      <c r="D625" s="34" t="s">
        <v>139</v>
      </c>
      <c r="E625" s="257">
        <v>0.11433</v>
      </c>
      <c r="F625" s="232">
        <v>2</v>
      </c>
      <c r="G625" s="40" t="s">
        <v>372</v>
      </c>
      <c r="H625" s="29">
        <v>3</v>
      </c>
      <c r="I625" s="9"/>
      <c r="J625" s="9">
        <v>3</v>
      </c>
      <c r="K625" s="9">
        <v>3</v>
      </c>
      <c r="L625" s="9">
        <v>3</v>
      </c>
      <c r="M625" s="9">
        <v>3</v>
      </c>
      <c r="N625" s="185">
        <f t="shared" si="45"/>
        <v>1.2132328390150593</v>
      </c>
      <c r="O625" s="159" t="str">
        <f t="shared" si="46"/>
        <v/>
      </c>
      <c r="P625" s="63" t="s">
        <v>375</v>
      </c>
    </row>
    <row r="626" spans="1:16" hidden="1">
      <c r="A626" s="151" t="s">
        <v>228</v>
      </c>
      <c r="B626" s="34" t="s">
        <v>231</v>
      </c>
      <c r="C626" s="40" t="s">
        <v>139</v>
      </c>
      <c r="D626" s="34" t="s">
        <v>139</v>
      </c>
      <c r="E626" s="257">
        <v>0.25267000000000001</v>
      </c>
      <c r="F626" s="232">
        <v>2</v>
      </c>
      <c r="G626" s="40" t="s">
        <v>372</v>
      </c>
      <c r="H626" s="29">
        <v>3</v>
      </c>
      <c r="I626" s="9"/>
      <c r="J626" s="9">
        <v>3</v>
      </c>
      <c r="K626" s="9">
        <v>3</v>
      </c>
      <c r="L626" s="9">
        <v>3</v>
      </c>
      <c r="M626" s="9">
        <v>3</v>
      </c>
      <c r="N626" s="185">
        <f t="shared" si="45"/>
        <v>1.2132328390150593</v>
      </c>
      <c r="O626" s="159" t="str">
        <f t="shared" si="46"/>
        <v/>
      </c>
      <c r="P626" s="63" t="s">
        <v>376</v>
      </c>
    </row>
    <row r="627" spans="1:16" hidden="1">
      <c r="A627" s="151" t="s">
        <v>270</v>
      </c>
      <c r="B627" s="34" t="s">
        <v>300</v>
      </c>
      <c r="C627" s="40" t="s">
        <v>139</v>
      </c>
      <c r="D627" s="34" t="s">
        <v>139</v>
      </c>
      <c r="E627" s="851">
        <v>0.02</v>
      </c>
      <c r="F627" s="34">
        <v>2</v>
      </c>
      <c r="G627" s="40" t="s">
        <v>301</v>
      </c>
      <c r="H627" s="29">
        <v>2</v>
      </c>
      <c r="I627" s="9">
        <v>2</v>
      </c>
      <c r="J627" s="9">
        <v>2</v>
      </c>
      <c r="K627" s="9">
        <v>2</v>
      </c>
      <c r="L627" s="9">
        <v>1</v>
      </c>
      <c r="M627" s="9">
        <v>1</v>
      </c>
      <c r="N627" s="185">
        <f t="shared" si="45"/>
        <v>0.2249354160293616</v>
      </c>
      <c r="O627" s="159">
        <f t="shared" si="46"/>
        <v>0.2249354160293616</v>
      </c>
      <c r="P627" s="838"/>
    </row>
    <row r="628" spans="1:16" hidden="1">
      <c r="A628" s="151" t="s">
        <v>275</v>
      </c>
      <c r="B628" s="34" t="s">
        <v>377</v>
      </c>
      <c r="C628" s="40" t="s">
        <v>139</v>
      </c>
      <c r="D628" s="34" t="s">
        <v>139</v>
      </c>
      <c r="E628" s="851">
        <v>0.9</v>
      </c>
      <c r="F628" s="34">
        <v>1</v>
      </c>
      <c r="G628" s="40" t="s">
        <v>378</v>
      </c>
      <c r="H628" s="29">
        <v>1</v>
      </c>
      <c r="I628" s="9">
        <v>3</v>
      </c>
      <c r="J628" s="9">
        <v>2</v>
      </c>
      <c r="K628" s="9">
        <v>1</v>
      </c>
      <c r="L628" s="9">
        <v>1</v>
      </c>
      <c r="M628" s="9">
        <v>2</v>
      </c>
      <c r="N628" s="185">
        <f t="shared" si="45"/>
        <v>0.35859414261160716</v>
      </c>
      <c r="O628" s="159">
        <f t="shared" si="46"/>
        <v>0.48935255543384243</v>
      </c>
      <c r="P628" s="838"/>
    </row>
    <row r="629" spans="1:16" hidden="1">
      <c r="A629" s="151" t="s">
        <v>275</v>
      </c>
      <c r="B629" s="34" t="s">
        <v>258</v>
      </c>
      <c r="C629" s="40" t="s">
        <v>139</v>
      </c>
      <c r="D629" s="34" t="s">
        <v>139</v>
      </c>
      <c r="E629" s="851">
        <v>0.1</v>
      </c>
      <c r="F629" s="34">
        <v>1</v>
      </c>
      <c r="G629" s="40" t="s">
        <v>378</v>
      </c>
      <c r="H629" s="29">
        <v>1</v>
      </c>
      <c r="I629" s="9">
        <v>3</v>
      </c>
      <c r="J629" s="9">
        <v>2</v>
      </c>
      <c r="K629" s="9">
        <v>1</v>
      </c>
      <c r="L629" s="9">
        <v>1</v>
      </c>
      <c r="M629" s="9">
        <v>2</v>
      </c>
      <c r="N629" s="185">
        <f t="shared" si="45"/>
        <v>0.35859414261160716</v>
      </c>
      <c r="O629" s="159">
        <f t="shared" si="46"/>
        <v>0.48935255543384243</v>
      </c>
      <c r="P629" s="838"/>
    </row>
    <row r="630" spans="1:16" hidden="1">
      <c r="A630" s="151" t="s">
        <v>271</v>
      </c>
      <c r="B630" s="34" t="s">
        <v>379</v>
      </c>
      <c r="C630" s="40" t="s">
        <v>139</v>
      </c>
      <c r="D630" s="34" t="s">
        <v>139</v>
      </c>
      <c r="E630" s="851" t="s">
        <v>150</v>
      </c>
      <c r="F630" s="34">
        <v>1</v>
      </c>
      <c r="G630" s="40"/>
      <c r="H630" s="29"/>
      <c r="I630" s="9"/>
      <c r="J630" s="9"/>
      <c r="K630" s="9"/>
      <c r="L630" s="9"/>
      <c r="M630" s="9"/>
      <c r="N630" s="185" t="str">
        <f t="shared" si="45"/>
        <v/>
      </c>
      <c r="O630" s="159" t="str">
        <f t="shared" si="46"/>
        <v/>
      </c>
      <c r="P630" s="838"/>
    </row>
    <row r="631" spans="1:16" hidden="1">
      <c r="A631" s="151" t="s">
        <v>271</v>
      </c>
      <c r="B631" s="34" t="s">
        <v>231</v>
      </c>
      <c r="C631" s="40" t="s">
        <v>139</v>
      </c>
      <c r="D631" s="34" t="s">
        <v>139</v>
      </c>
      <c r="E631" s="851">
        <v>0.05</v>
      </c>
      <c r="F631" s="34">
        <v>2</v>
      </c>
      <c r="G631" s="40" t="s">
        <v>276</v>
      </c>
      <c r="H631" s="29">
        <v>1</v>
      </c>
      <c r="I631" s="9">
        <v>2</v>
      </c>
      <c r="J631" s="9">
        <v>1</v>
      </c>
      <c r="K631" s="9">
        <v>1</v>
      </c>
      <c r="L631" s="9">
        <v>2</v>
      </c>
      <c r="M631" s="9">
        <v>3</v>
      </c>
      <c r="N631" s="185">
        <f t="shared" si="45"/>
        <v>1.0195048044558224</v>
      </c>
      <c r="O631" s="159">
        <f t="shared" si="46"/>
        <v>1.0248662490928169</v>
      </c>
      <c r="P631" s="838"/>
    </row>
    <row r="632" spans="1:16" hidden="1">
      <c r="A632" s="151" t="s">
        <v>271</v>
      </c>
      <c r="B632" s="34" t="s">
        <v>231</v>
      </c>
      <c r="C632" s="40" t="s">
        <v>139</v>
      </c>
      <c r="D632" s="34" t="s">
        <v>139</v>
      </c>
      <c r="E632" s="851">
        <v>0.1</v>
      </c>
      <c r="F632" s="34">
        <v>2</v>
      </c>
      <c r="G632" s="852" t="s">
        <v>277</v>
      </c>
      <c r="H632" s="29">
        <v>1</v>
      </c>
      <c r="I632" s="9">
        <v>2</v>
      </c>
      <c r="J632" s="9">
        <v>2</v>
      </c>
      <c r="K632" s="9">
        <v>1</v>
      </c>
      <c r="L632" s="9">
        <v>2</v>
      </c>
      <c r="M632" s="9">
        <v>3</v>
      </c>
      <c r="N632" s="185">
        <f t="shared" si="45"/>
        <v>1.0248662490928169</v>
      </c>
      <c r="O632" s="159">
        <f t="shared" si="46"/>
        <v>1.0301997916669636</v>
      </c>
      <c r="P632" s="838"/>
    </row>
    <row r="633" spans="1:16" hidden="1">
      <c r="A633" s="151" t="s">
        <v>271</v>
      </c>
      <c r="B633" s="34" t="s">
        <v>300</v>
      </c>
      <c r="C633" s="40" t="s">
        <v>139</v>
      </c>
      <c r="D633" s="34" t="s">
        <v>139</v>
      </c>
      <c r="E633" s="851">
        <v>0.8</v>
      </c>
      <c r="F633" s="34">
        <v>2</v>
      </c>
      <c r="G633" s="40" t="s">
        <v>380</v>
      </c>
      <c r="H633" s="29">
        <v>1</v>
      </c>
      <c r="I633" s="9">
        <v>2</v>
      </c>
      <c r="J633" s="9">
        <v>1</v>
      </c>
      <c r="K633" s="9">
        <v>1</v>
      </c>
      <c r="L633" s="9">
        <v>3</v>
      </c>
      <c r="M633" s="9">
        <v>3</v>
      </c>
      <c r="N633" s="185">
        <f t="shared" si="45"/>
        <v>1.0673825127299523</v>
      </c>
      <c r="O633" s="159">
        <f t="shared" si="46"/>
        <v>1.0725046436742278</v>
      </c>
      <c r="P633" s="838"/>
    </row>
    <row r="634" spans="1:16" hidden="1">
      <c r="A634" s="151" t="s">
        <v>271</v>
      </c>
      <c r="B634" s="34" t="s">
        <v>300</v>
      </c>
      <c r="C634" s="40" t="s">
        <v>139</v>
      </c>
      <c r="D634" s="34" t="s">
        <v>139</v>
      </c>
      <c r="E634" s="851">
        <v>0.9</v>
      </c>
      <c r="F634" s="34">
        <v>2</v>
      </c>
      <c r="G634" s="40" t="s">
        <v>378</v>
      </c>
      <c r="H634" s="29">
        <v>1</v>
      </c>
      <c r="I634" s="9">
        <v>2</v>
      </c>
      <c r="J634" s="9">
        <v>1</v>
      </c>
      <c r="K634" s="9">
        <v>1</v>
      </c>
      <c r="L634" s="9">
        <v>3</v>
      </c>
      <c r="M634" s="9">
        <v>3</v>
      </c>
      <c r="N634" s="185">
        <f t="shared" si="45"/>
        <v>1.0673825127299523</v>
      </c>
      <c r="O634" s="159">
        <f t="shared" si="46"/>
        <v>1.0725046436742278</v>
      </c>
      <c r="P634" s="838"/>
    </row>
    <row r="635" spans="1:16" hidden="1">
      <c r="A635" s="151" t="s">
        <v>121</v>
      </c>
      <c r="B635" s="34" t="s">
        <v>170</v>
      </c>
      <c r="C635" s="40" t="s">
        <v>139</v>
      </c>
      <c r="D635" s="34" t="s">
        <v>86</v>
      </c>
      <c r="E635" s="257">
        <v>0</v>
      </c>
      <c r="F635" s="232">
        <v>1</v>
      </c>
      <c r="G635" s="40"/>
      <c r="H635" s="29"/>
      <c r="I635" s="9"/>
      <c r="J635" s="9"/>
      <c r="K635" s="9"/>
      <c r="L635" s="9"/>
      <c r="M635" s="9"/>
      <c r="N635" s="185" t="str">
        <f t="shared" si="45"/>
        <v/>
      </c>
      <c r="O635" s="159" t="str">
        <f t="shared" si="46"/>
        <v/>
      </c>
      <c r="P635" s="63"/>
    </row>
    <row r="636" spans="1:16" hidden="1">
      <c r="A636" s="289" t="s">
        <v>359</v>
      </c>
      <c r="B636" s="55" t="s">
        <v>231</v>
      </c>
      <c r="C636" s="262" t="s">
        <v>139</v>
      </c>
      <c r="D636" s="55" t="s">
        <v>139</v>
      </c>
      <c r="E636" s="257">
        <v>3.8461538461538457E-2</v>
      </c>
      <c r="F636" s="232">
        <v>2</v>
      </c>
      <c r="G636" s="262" t="s">
        <v>163</v>
      </c>
      <c r="H636" s="29">
        <v>2</v>
      </c>
      <c r="I636" s="9">
        <v>2</v>
      </c>
      <c r="J636" s="9">
        <v>2</v>
      </c>
      <c r="K636" s="9">
        <v>2</v>
      </c>
      <c r="L636" s="9">
        <v>2</v>
      </c>
      <c r="M636" s="9">
        <v>2</v>
      </c>
      <c r="N636" s="185">
        <f t="shared" si="45"/>
        <v>0.40183591897512122</v>
      </c>
      <c r="O636" s="159">
        <f t="shared" si="46"/>
        <v>0.40183591897512122</v>
      </c>
      <c r="P636" s="63" t="s">
        <v>356</v>
      </c>
    </row>
    <row r="637" spans="1:16" hidden="1">
      <c r="A637" s="289" t="s">
        <v>359</v>
      </c>
      <c r="B637" s="55" t="s">
        <v>231</v>
      </c>
      <c r="C637" s="262" t="s">
        <v>139</v>
      </c>
      <c r="D637" s="55" t="s">
        <v>139</v>
      </c>
      <c r="E637" s="257">
        <v>0.4623655913978495</v>
      </c>
      <c r="F637" s="232">
        <v>2</v>
      </c>
      <c r="G637" s="262" t="s">
        <v>163</v>
      </c>
      <c r="H637" s="29">
        <v>2</v>
      </c>
      <c r="I637" s="9">
        <v>2</v>
      </c>
      <c r="J637" s="9">
        <v>2</v>
      </c>
      <c r="K637" s="9">
        <v>2</v>
      </c>
      <c r="L637" s="9">
        <v>2</v>
      </c>
      <c r="M637" s="9">
        <v>2</v>
      </c>
      <c r="N637" s="185">
        <f t="shared" si="45"/>
        <v>0.40183591897512122</v>
      </c>
      <c r="O637" s="159">
        <f t="shared" si="46"/>
        <v>0.40183591897512122</v>
      </c>
      <c r="P637" s="63" t="s">
        <v>357</v>
      </c>
    </row>
    <row r="638" spans="1:16" hidden="1">
      <c r="A638" s="151" t="s">
        <v>200</v>
      </c>
      <c r="B638" s="34" t="s">
        <v>244</v>
      </c>
      <c r="C638" s="40" t="s">
        <v>139</v>
      </c>
      <c r="D638" s="34" t="s">
        <v>139</v>
      </c>
      <c r="E638" s="257">
        <v>2.1505376344086021E-3</v>
      </c>
      <c r="F638" s="232">
        <v>1</v>
      </c>
      <c r="G638" s="40" t="s">
        <v>145</v>
      </c>
      <c r="H638" s="29">
        <v>2</v>
      </c>
      <c r="I638" s="9">
        <v>2</v>
      </c>
      <c r="J638" s="9">
        <v>2</v>
      </c>
      <c r="K638" s="9">
        <v>3</v>
      </c>
      <c r="L638" s="9">
        <v>1</v>
      </c>
      <c r="M638" s="9">
        <v>2</v>
      </c>
      <c r="N638" s="185">
        <f t="shared" si="45"/>
        <v>0.50042652380814845</v>
      </c>
      <c r="O638" s="159">
        <f t="shared" si="46"/>
        <v>0.50042652380814845</v>
      </c>
      <c r="P638" s="63" t="s">
        <v>381</v>
      </c>
    </row>
    <row r="639" spans="1:16" hidden="1">
      <c r="A639" s="151" t="s">
        <v>201</v>
      </c>
      <c r="B639" s="34" t="s">
        <v>244</v>
      </c>
      <c r="C639" s="40" t="s">
        <v>139</v>
      </c>
      <c r="D639" s="34" t="s">
        <v>85</v>
      </c>
      <c r="E639" s="257">
        <v>1.075268817204301E-2</v>
      </c>
      <c r="F639" s="232">
        <v>1</v>
      </c>
      <c r="G639" s="40" t="s">
        <v>145</v>
      </c>
      <c r="H639" s="29">
        <v>2</v>
      </c>
      <c r="I639" s="9">
        <v>2</v>
      </c>
      <c r="J639" s="9">
        <v>2</v>
      </c>
      <c r="K639" s="9">
        <v>3</v>
      </c>
      <c r="L639" s="9">
        <v>1</v>
      </c>
      <c r="M639" s="9">
        <v>2</v>
      </c>
      <c r="N639" s="185">
        <f t="shared" si="45"/>
        <v>0.50042652380814845</v>
      </c>
      <c r="O639" s="159">
        <f t="shared" si="46"/>
        <v>0.50042652380814845</v>
      </c>
      <c r="P639" s="63" t="s">
        <v>381</v>
      </c>
    </row>
    <row r="640" spans="1:16" hidden="1">
      <c r="A640" s="151" t="s">
        <v>201</v>
      </c>
      <c r="B640" s="34" t="s">
        <v>244</v>
      </c>
      <c r="C640" s="40" t="s">
        <v>139</v>
      </c>
      <c r="D640" s="34" t="s">
        <v>86</v>
      </c>
      <c r="E640" s="257">
        <v>0.5376344086021505</v>
      </c>
      <c r="F640" s="232">
        <v>1</v>
      </c>
      <c r="G640" s="40" t="s">
        <v>145</v>
      </c>
      <c r="H640" s="29">
        <v>2</v>
      </c>
      <c r="I640" s="9">
        <v>2</v>
      </c>
      <c r="J640" s="9">
        <v>2</v>
      </c>
      <c r="K640" s="9">
        <v>3</v>
      </c>
      <c r="L640" s="9">
        <v>1</v>
      </c>
      <c r="M640" s="9">
        <v>2</v>
      </c>
      <c r="N640" s="185">
        <f t="shared" si="45"/>
        <v>0.50042652380814845</v>
      </c>
      <c r="O640" s="159">
        <f t="shared" si="46"/>
        <v>0.50042652380814845</v>
      </c>
      <c r="P640" s="63" t="s">
        <v>381</v>
      </c>
    </row>
    <row r="641" spans="1:16" hidden="1">
      <c r="A641" s="151" t="s">
        <v>201</v>
      </c>
      <c r="B641" s="34" t="s">
        <v>244</v>
      </c>
      <c r="C641" s="40" t="s">
        <v>139</v>
      </c>
      <c r="D641" s="34" t="s">
        <v>87</v>
      </c>
      <c r="E641" s="257">
        <v>1.075268817204301E-2</v>
      </c>
      <c r="F641" s="232">
        <v>1</v>
      </c>
      <c r="G641" s="40" t="s">
        <v>145</v>
      </c>
      <c r="H641" s="29">
        <v>2</v>
      </c>
      <c r="I641" s="9">
        <v>2</v>
      </c>
      <c r="J641" s="9">
        <v>2</v>
      </c>
      <c r="K641" s="9">
        <v>3</v>
      </c>
      <c r="L641" s="9">
        <v>1</v>
      </c>
      <c r="M641" s="9">
        <v>2</v>
      </c>
      <c r="N641" s="185">
        <f t="shared" si="45"/>
        <v>0.50042652380814845</v>
      </c>
      <c r="O641" s="159">
        <f t="shared" si="46"/>
        <v>0.50042652380814845</v>
      </c>
      <c r="P641" s="63" t="s">
        <v>381</v>
      </c>
    </row>
    <row r="642" spans="1:16" hidden="1">
      <c r="A642" s="151" t="s">
        <v>201</v>
      </c>
      <c r="B642" s="34" t="s">
        <v>244</v>
      </c>
      <c r="C642" s="40" t="s">
        <v>139</v>
      </c>
      <c r="D642" s="34" t="s">
        <v>88</v>
      </c>
      <c r="E642" s="257">
        <v>1.075268817204301E-2</v>
      </c>
      <c r="F642" s="232">
        <v>1</v>
      </c>
      <c r="G642" s="40" t="s">
        <v>145</v>
      </c>
      <c r="H642" s="29">
        <v>2</v>
      </c>
      <c r="I642" s="9">
        <v>2</v>
      </c>
      <c r="J642" s="9">
        <v>2</v>
      </c>
      <c r="K642" s="9">
        <v>3</v>
      </c>
      <c r="L642" s="9">
        <v>1</v>
      </c>
      <c r="M642" s="9">
        <v>2</v>
      </c>
      <c r="N642" s="185">
        <f t="shared" si="45"/>
        <v>0.50042652380814845</v>
      </c>
      <c r="O642" s="159">
        <f t="shared" si="46"/>
        <v>0.50042652380814845</v>
      </c>
      <c r="P642" s="63" t="s">
        <v>381</v>
      </c>
    </row>
    <row r="643" spans="1:16" hidden="1">
      <c r="A643" s="151" t="s">
        <v>201</v>
      </c>
      <c r="B643" s="34" t="s">
        <v>244</v>
      </c>
      <c r="C643" s="40" t="s">
        <v>139</v>
      </c>
      <c r="D643" s="34" t="s">
        <v>89</v>
      </c>
      <c r="E643" s="257">
        <v>1.075268817204301E-2</v>
      </c>
      <c r="F643" s="232">
        <v>1</v>
      </c>
      <c r="G643" s="40" t="s">
        <v>145</v>
      </c>
      <c r="H643" s="29">
        <v>2</v>
      </c>
      <c r="I643" s="9">
        <v>2</v>
      </c>
      <c r="J643" s="9">
        <v>2</v>
      </c>
      <c r="K643" s="9">
        <v>3</v>
      </c>
      <c r="L643" s="9">
        <v>1</v>
      </c>
      <c r="M643" s="9">
        <v>2</v>
      </c>
      <c r="N643" s="185">
        <f t="shared" si="45"/>
        <v>0.50042652380814845</v>
      </c>
      <c r="O643" s="159">
        <f t="shared" si="46"/>
        <v>0.50042652380814845</v>
      </c>
      <c r="P643" s="63" t="s">
        <v>381</v>
      </c>
    </row>
    <row r="644" spans="1:16" hidden="1">
      <c r="A644" s="151" t="s">
        <v>201</v>
      </c>
      <c r="B644" s="34" t="s">
        <v>244</v>
      </c>
      <c r="C644" s="40" t="s">
        <v>139</v>
      </c>
      <c r="D644" s="34" t="s">
        <v>90</v>
      </c>
      <c r="E644" s="257">
        <v>1.075268817204301E-2</v>
      </c>
      <c r="F644" s="232">
        <v>1</v>
      </c>
      <c r="G644" s="40" t="s">
        <v>145</v>
      </c>
      <c r="H644" s="29">
        <v>2</v>
      </c>
      <c r="I644" s="9">
        <v>2</v>
      </c>
      <c r="J644" s="9">
        <v>2</v>
      </c>
      <c r="K644" s="9">
        <v>3</v>
      </c>
      <c r="L644" s="9">
        <v>1</v>
      </c>
      <c r="M644" s="9">
        <v>2</v>
      </c>
      <c r="N644" s="185">
        <f t="shared" si="45"/>
        <v>0.50042652380814845</v>
      </c>
      <c r="O644" s="159">
        <f t="shared" si="46"/>
        <v>0.50042652380814845</v>
      </c>
      <c r="P644" s="63" t="s">
        <v>381</v>
      </c>
    </row>
    <row r="645" spans="1:16" hidden="1">
      <c r="A645" s="151" t="s">
        <v>201</v>
      </c>
      <c r="B645" s="34" t="s">
        <v>244</v>
      </c>
      <c r="C645" s="40" t="s">
        <v>139</v>
      </c>
      <c r="D645" s="34" t="s">
        <v>91</v>
      </c>
      <c r="E645" s="257">
        <v>0.82</v>
      </c>
      <c r="F645" s="232">
        <v>1</v>
      </c>
      <c r="G645" s="40" t="s">
        <v>382</v>
      </c>
      <c r="H645" s="29">
        <v>2</v>
      </c>
      <c r="I645" s="9">
        <v>2</v>
      </c>
      <c r="J645" s="9">
        <v>1</v>
      </c>
      <c r="K645" s="9">
        <v>1</v>
      </c>
      <c r="L645" s="9">
        <v>1</v>
      </c>
      <c r="M645" s="9">
        <v>1</v>
      </c>
      <c r="N645" s="185">
        <f t="shared" si="45"/>
        <v>0.16933510251023262</v>
      </c>
      <c r="O645" s="159">
        <f t="shared" si="46"/>
        <v>0.16933510251023262</v>
      </c>
      <c r="P645" s="63"/>
    </row>
    <row r="646" spans="1:16" hidden="1">
      <c r="A646" s="151" t="s">
        <v>202</v>
      </c>
      <c r="B646" s="34" t="s">
        <v>244</v>
      </c>
      <c r="C646" s="40" t="s">
        <v>139</v>
      </c>
      <c r="D646" s="34" t="s">
        <v>139</v>
      </c>
      <c r="E646" s="257">
        <v>0</v>
      </c>
      <c r="F646" s="232">
        <v>1</v>
      </c>
      <c r="G646" s="40" t="s">
        <v>145</v>
      </c>
      <c r="H646" s="29"/>
      <c r="I646" s="9"/>
      <c r="J646" s="9"/>
      <c r="K646" s="9"/>
      <c r="L646" s="9"/>
      <c r="M646" s="9"/>
      <c r="N646" s="185" t="str">
        <f t="shared" si="45"/>
        <v/>
      </c>
      <c r="O646" s="159" t="str">
        <f t="shared" si="46"/>
        <v/>
      </c>
      <c r="P646" s="63"/>
    </row>
    <row r="647" spans="1:16" hidden="1">
      <c r="A647" s="151" t="s">
        <v>235</v>
      </c>
      <c r="B647" s="34" t="s">
        <v>244</v>
      </c>
      <c r="C647" s="40" t="s">
        <v>139</v>
      </c>
      <c r="D647" s="34" t="s">
        <v>139</v>
      </c>
      <c r="E647" s="257">
        <v>0.32258064516129031</v>
      </c>
      <c r="F647" s="232">
        <v>1</v>
      </c>
      <c r="G647" s="40" t="s">
        <v>145</v>
      </c>
      <c r="H647" s="29">
        <v>2</v>
      </c>
      <c r="I647" s="9">
        <v>2</v>
      </c>
      <c r="J647" s="9">
        <v>2</v>
      </c>
      <c r="K647" s="9">
        <v>3</v>
      </c>
      <c r="L647" s="9">
        <v>1</v>
      </c>
      <c r="M647" s="9">
        <v>2</v>
      </c>
      <c r="N647" s="185">
        <f t="shared" si="45"/>
        <v>0.50042652380814845</v>
      </c>
      <c r="O647" s="159">
        <f t="shared" si="46"/>
        <v>0.50042652380814845</v>
      </c>
      <c r="P647" s="63" t="s">
        <v>381</v>
      </c>
    </row>
    <row r="648" spans="1:16" hidden="1">
      <c r="A648" s="151" t="s">
        <v>203</v>
      </c>
      <c r="B648" s="34" t="s">
        <v>244</v>
      </c>
      <c r="C648" s="40" t="s">
        <v>139</v>
      </c>
      <c r="D648" s="34" t="s">
        <v>139</v>
      </c>
      <c r="E648" s="257">
        <v>1.075268817204301E-2</v>
      </c>
      <c r="F648" s="232">
        <v>1</v>
      </c>
      <c r="G648" s="40" t="s">
        <v>145</v>
      </c>
      <c r="H648" s="29">
        <v>2</v>
      </c>
      <c r="I648" s="9">
        <v>2</v>
      </c>
      <c r="J648" s="9">
        <v>2</v>
      </c>
      <c r="K648" s="9">
        <v>3</v>
      </c>
      <c r="L648" s="9">
        <v>1</v>
      </c>
      <c r="M648" s="9">
        <v>2</v>
      </c>
      <c r="N648" s="185">
        <f t="shared" si="45"/>
        <v>0.50042652380814845</v>
      </c>
      <c r="O648" s="159">
        <f t="shared" si="46"/>
        <v>0.50042652380814845</v>
      </c>
      <c r="P648" s="63" t="s">
        <v>381</v>
      </c>
    </row>
    <row r="649" spans="1:16" hidden="1">
      <c r="A649" s="151" t="s">
        <v>236</v>
      </c>
      <c r="B649" s="34" t="s">
        <v>244</v>
      </c>
      <c r="C649" s="40" t="s">
        <v>139</v>
      </c>
      <c r="D649" s="34" t="s">
        <v>139</v>
      </c>
      <c r="E649" s="257">
        <v>0.32258064516129031</v>
      </c>
      <c r="F649" s="232">
        <v>1</v>
      </c>
      <c r="G649" s="40" t="s">
        <v>145</v>
      </c>
      <c r="H649" s="29">
        <v>2</v>
      </c>
      <c r="I649" s="9">
        <v>2</v>
      </c>
      <c r="J649" s="9">
        <v>2</v>
      </c>
      <c r="K649" s="9">
        <v>3</v>
      </c>
      <c r="L649" s="9">
        <v>1</v>
      </c>
      <c r="M649" s="9">
        <v>2</v>
      </c>
      <c r="N649" s="185">
        <f t="shared" si="45"/>
        <v>0.50042652380814845</v>
      </c>
      <c r="O649" s="159">
        <f t="shared" si="46"/>
        <v>0.50042652380814845</v>
      </c>
      <c r="P649" s="63" t="s">
        <v>381</v>
      </c>
    </row>
    <row r="650" spans="1:16" hidden="1">
      <c r="A650" s="151" t="s">
        <v>237</v>
      </c>
      <c r="B650" s="34" t="s">
        <v>244</v>
      </c>
      <c r="C650" s="40" t="s">
        <v>139</v>
      </c>
      <c r="D650" s="34" t="s">
        <v>85</v>
      </c>
      <c r="E650" s="257">
        <v>6.4516129032258063E-2</v>
      </c>
      <c r="F650" s="232">
        <v>1</v>
      </c>
      <c r="G650" s="40" t="s">
        <v>145</v>
      </c>
      <c r="H650" s="29">
        <v>2</v>
      </c>
      <c r="I650" s="9">
        <v>2</v>
      </c>
      <c r="J650" s="9">
        <v>2</v>
      </c>
      <c r="K650" s="9">
        <v>3</v>
      </c>
      <c r="L650" s="9">
        <v>1</v>
      </c>
      <c r="M650" s="9">
        <v>2</v>
      </c>
      <c r="N650" s="185">
        <f t="shared" si="45"/>
        <v>0.50042652380814845</v>
      </c>
      <c r="O650" s="159">
        <f t="shared" si="46"/>
        <v>0.50042652380814845</v>
      </c>
      <c r="P650" s="63" t="s">
        <v>381</v>
      </c>
    </row>
    <row r="651" spans="1:16" hidden="1">
      <c r="A651" s="151" t="s">
        <v>237</v>
      </c>
      <c r="B651" s="34" t="s">
        <v>244</v>
      </c>
      <c r="C651" s="40" t="s">
        <v>139</v>
      </c>
      <c r="D651" s="34" t="s">
        <v>86</v>
      </c>
      <c r="E651" s="257">
        <v>6.4516129032258063E-2</v>
      </c>
      <c r="F651" s="232">
        <v>1</v>
      </c>
      <c r="G651" s="40" t="s">
        <v>145</v>
      </c>
      <c r="H651" s="29">
        <v>2</v>
      </c>
      <c r="I651" s="9">
        <v>2</v>
      </c>
      <c r="J651" s="9">
        <v>2</v>
      </c>
      <c r="K651" s="9">
        <v>3</v>
      </c>
      <c r="L651" s="9">
        <v>1</v>
      </c>
      <c r="M651" s="9">
        <v>2</v>
      </c>
      <c r="N651" s="185">
        <f t="shared" si="45"/>
        <v>0.50042652380814845</v>
      </c>
      <c r="O651" s="159">
        <f t="shared" si="46"/>
        <v>0.50042652380814845</v>
      </c>
      <c r="P651" s="63" t="s">
        <v>381</v>
      </c>
    </row>
    <row r="652" spans="1:16" hidden="1">
      <c r="A652" s="151" t="s">
        <v>237</v>
      </c>
      <c r="B652" s="34" t="s">
        <v>244</v>
      </c>
      <c r="C652" s="40" t="s">
        <v>139</v>
      </c>
      <c r="D652" s="34" t="s">
        <v>87</v>
      </c>
      <c r="E652" s="257">
        <v>6.4516129032258063E-2</v>
      </c>
      <c r="F652" s="232">
        <v>1</v>
      </c>
      <c r="G652" s="40" t="s">
        <v>145</v>
      </c>
      <c r="H652" s="29">
        <v>2</v>
      </c>
      <c r="I652" s="9">
        <v>2</v>
      </c>
      <c r="J652" s="9">
        <v>2</v>
      </c>
      <c r="K652" s="9">
        <v>3</v>
      </c>
      <c r="L652" s="9">
        <v>1</v>
      </c>
      <c r="M652" s="9">
        <v>2</v>
      </c>
      <c r="N652" s="185">
        <f t="shared" si="45"/>
        <v>0.50042652380814845</v>
      </c>
      <c r="O652" s="159">
        <f t="shared" si="46"/>
        <v>0.50042652380814845</v>
      </c>
      <c r="P652" s="63" t="s">
        <v>381</v>
      </c>
    </row>
    <row r="653" spans="1:16" hidden="1">
      <c r="A653" s="151" t="s">
        <v>237</v>
      </c>
      <c r="B653" s="34" t="s">
        <v>244</v>
      </c>
      <c r="C653" s="40" t="s">
        <v>139</v>
      </c>
      <c r="D653" s="34" t="s">
        <v>88</v>
      </c>
      <c r="E653" s="257">
        <v>6.4516129032258063E-2</v>
      </c>
      <c r="F653" s="232">
        <v>1</v>
      </c>
      <c r="G653" s="40" t="s">
        <v>145</v>
      </c>
      <c r="H653" s="29">
        <v>2</v>
      </c>
      <c r="I653" s="9">
        <v>2</v>
      </c>
      <c r="J653" s="9">
        <v>2</v>
      </c>
      <c r="K653" s="9">
        <v>3</v>
      </c>
      <c r="L653" s="9">
        <v>1</v>
      </c>
      <c r="M653" s="9">
        <v>2</v>
      </c>
      <c r="N653" s="185">
        <f t="shared" si="45"/>
        <v>0.50042652380814845</v>
      </c>
      <c r="O653" s="159">
        <f t="shared" si="46"/>
        <v>0.50042652380814845</v>
      </c>
      <c r="P653" s="63" t="s">
        <v>381</v>
      </c>
    </row>
    <row r="654" spans="1:16" hidden="1">
      <c r="A654" s="151" t="s">
        <v>237</v>
      </c>
      <c r="B654" s="34" t="s">
        <v>244</v>
      </c>
      <c r="C654" s="40" t="s">
        <v>139</v>
      </c>
      <c r="D654" s="34" t="s">
        <v>89</v>
      </c>
      <c r="E654" s="257">
        <v>6.4516129032258063E-2</v>
      </c>
      <c r="F654" s="232">
        <v>1</v>
      </c>
      <c r="G654" s="40" t="s">
        <v>145</v>
      </c>
      <c r="H654" s="29">
        <v>2</v>
      </c>
      <c r="I654" s="9">
        <v>2</v>
      </c>
      <c r="J654" s="9">
        <v>2</v>
      </c>
      <c r="K654" s="9">
        <v>3</v>
      </c>
      <c r="L654" s="9">
        <v>1</v>
      </c>
      <c r="M654" s="9">
        <v>2</v>
      </c>
      <c r="N654" s="185">
        <f t="shared" ref="N654:N717" si="47">IF( OR( ISBLANK(H654),ISBLANK(J654), ISBLANK(K654), ISBLANK(L654), ISBLANK(M654) ), "", 1.5*SQRT(   EXP(2.21*(H654-1)) + EXP(2.21*(J654-1)) + EXP(2.21*(K654-1)) + EXP(2.21*(L654-1)) + EXP(2.21*M654)   )/100*2.45 )</f>
        <v>0.50042652380814845</v>
      </c>
      <c r="O654" s="159">
        <f t="shared" ref="O654:O717" si="48">IF( OR( ISBLANK(I654),ISBLANK(J654), ISBLANK(K654), ISBLANK(L654), ISBLANK(M654) ), "", 1.5*SQRT( EXP(2.21*(I654-1)) + EXP(2.21*(J654-1)) + EXP(2.21*(K654-1)) + EXP(2.21*(L654-1)) + EXP(2.21*M654)   )/100*2.45 )</f>
        <v>0.50042652380814845</v>
      </c>
      <c r="P654" s="63" t="s">
        <v>381</v>
      </c>
    </row>
    <row r="655" spans="1:16" hidden="1">
      <c r="A655" s="151" t="s">
        <v>237</v>
      </c>
      <c r="B655" s="34" t="s">
        <v>244</v>
      </c>
      <c r="C655" s="40" t="s">
        <v>139</v>
      </c>
      <c r="D655" s="34" t="s">
        <v>90</v>
      </c>
      <c r="E655" s="257">
        <v>6.4516129032258063E-2</v>
      </c>
      <c r="F655" s="232">
        <v>1</v>
      </c>
      <c r="G655" s="40" t="s">
        <v>145</v>
      </c>
      <c r="H655" s="29">
        <v>2</v>
      </c>
      <c r="I655" s="9">
        <v>2</v>
      </c>
      <c r="J655" s="9">
        <v>2</v>
      </c>
      <c r="K655" s="9">
        <v>3</v>
      </c>
      <c r="L655" s="9">
        <v>1</v>
      </c>
      <c r="M655" s="9">
        <v>2</v>
      </c>
      <c r="N655" s="185">
        <f t="shared" si="47"/>
        <v>0.50042652380814845</v>
      </c>
      <c r="O655" s="159">
        <f t="shared" si="48"/>
        <v>0.50042652380814845</v>
      </c>
      <c r="P655" s="63" t="s">
        <v>381</v>
      </c>
    </row>
    <row r="656" spans="1:16" hidden="1">
      <c r="A656" s="151" t="s">
        <v>237</v>
      </c>
      <c r="B656" s="34" t="s">
        <v>244</v>
      </c>
      <c r="C656" s="40" t="s">
        <v>139</v>
      </c>
      <c r="D656" s="34" t="s">
        <v>91</v>
      </c>
      <c r="E656" s="257">
        <v>6.4516129032258063E-2</v>
      </c>
      <c r="F656" s="232">
        <v>1</v>
      </c>
      <c r="G656" s="40" t="s">
        <v>145</v>
      </c>
      <c r="H656" s="29">
        <v>2</v>
      </c>
      <c r="I656" s="9">
        <v>2</v>
      </c>
      <c r="J656" s="9">
        <v>2</v>
      </c>
      <c r="K656" s="9">
        <v>3</v>
      </c>
      <c r="L656" s="9">
        <v>1</v>
      </c>
      <c r="M656" s="9">
        <v>2</v>
      </c>
      <c r="N656" s="185">
        <f t="shared" si="47"/>
        <v>0.50042652380814845</v>
      </c>
      <c r="O656" s="159">
        <f t="shared" si="48"/>
        <v>0.50042652380814845</v>
      </c>
      <c r="P656" s="63" t="s">
        <v>381</v>
      </c>
    </row>
    <row r="657" spans="1:16" hidden="1">
      <c r="A657" s="151" t="s">
        <v>244</v>
      </c>
      <c r="B657" s="34" t="s">
        <v>283</v>
      </c>
      <c r="C657" s="40" t="s">
        <v>139</v>
      </c>
      <c r="D657" s="34" t="s">
        <v>139</v>
      </c>
      <c r="E657" s="257" t="s">
        <v>150</v>
      </c>
      <c r="F657" s="232">
        <v>1</v>
      </c>
      <c r="G657" s="40"/>
      <c r="H657" s="29"/>
      <c r="I657" s="9"/>
      <c r="J657" s="9"/>
      <c r="K657" s="9"/>
      <c r="L657" s="9"/>
      <c r="M657" s="9"/>
      <c r="N657" s="185" t="str">
        <f t="shared" si="47"/>
        <v/>
      </c>
      <c r="O657" s="159" t="str">
        <f t="shared" si="48"/>
        <v/>
      </c>
      <c r="P657" s="63"/>
    </row>
    <row r="658" spans="1:16" hidden="1">
      <c r="A658" s="151" t="s">
        <v>121</v>
      </c>
      <c r="B658" s="34" t="s">
        <v>170</v>
      </c>
      <c r="C658" s="40" t="s">
        <v>139</v>
      </c>
      <c r="D658" s="34" t="s">
        <v>87</v>
      </c>
      <c r="E658" s="257">
        <v>5.3557140062945638E-2</v>
      </c>
      <c r="F658" s="232">
        <v>1</v>
      </c>
      <c r="G658" s="40"/>
      <c r="H658" s="29">
        <v>3</v>
      </c>
      <c r="I658" s="9">
        <v>3</v>
      </c>
      <c r="J658" s="9">
        <v>2</v>
      </c>
      <c r="K658" s="9">
        <v>2</v>
      </c>
      <c r="L658" s="9">
        <v>1</v>
      </c>
      <c r="M658" s="9">
        <v>2</v>
      </c>
      <c r="N658" s="185">
        <f t="shared" si="47"/>
        <v>0.50042652380814845</v>
      </c>
      <c r="O658" s="159">
        <f t="shared" si="48"/>
        <v>0.50042652380814845</v>
      </c>
      <c r="P658" s="63"/>
    </row>
    <row r="659" spans="1:16" hidden="1">
      <c r="A659" s="151" t="s">
        <v>121</v>
      </c>
      <c r="B659" s="34" t="s">
        <v>170</v>
      </c>
      <c r="C659" s="40" t="s">
        <v>139</v>
      </c>
      <c r="D659" s="34" t="s">
        <v>88</v>
      </c>
      <c r="E659" s="257">
        <v>0</v>
      </c>
      <c r="F659" s="232">
        <v>1</v>
      </c>
      <c r="G659" s="40"/>
      <c r="H659" s="29"/>
      <c r="I659" s="9"/>
      <c r="J659" s="9"/>
      <c r="K659" s="9"/>
      <c r="L659" s="9"/>
      <c r="M659" s="9"/>
      <c r="N659" s="185" t="str">
        <f t="shared" si="47"/>
        <v/>
      </c>
      <c r="O659" s="159" t="str">
        <f t="shared" si="48"/>
        <v/>
      </c>
      <c r="P659" s="63"/>
    </row>
    <row r="660" spans="1:16" hidden="1">
      <c r="A660" s="151" t="s">
        <v>121</v>
      </c>
      <c r="B660" s="34" t="s">
        <v>170</v>
      </c>
      <c r="C660" s="40" t="s">
        <v>139</v>
      </c>
      <c r="D660" s="34" t="s">
        <v>89</v>
      </c>
      <c r="E660" s="257">
        <v>0</v>
      </c>
      <c r="F660" s="232">
        <v>1</v>
      </c>
      <c r="G660" s="40"/>
      <c r="H660" s="29"/>
      <c r="I660" s="9"/>
      <c r="J660" s="9"/>
      <c r="K660" s="9"/>
      <c r="L660" s="9"/>
      <c r="M660" s="9"/>
      <c r="N660" s="185" t="str">
        <f t="shared" si="47"/>
        <v/>
      </c>
      <c r="O660" s="159" t="str">
        <f t="shared" si="48"/>
        <v/>
      </c>
      <c r="P660" s="63"/>
    </row>
    <row r="661" spans="1:16" hidden="1">
      <c r="A661" s="151" t="s">
        <v>121</v>
      </c>
      <c r="B661" s="34" t="s">
        <v>170</v>
      </c>
      <c r="C661" s="40" t="s">
        <v>139</v>
      </c>
      <c r="D661" s="34" t="s">
        <v>90</v>
      </c>
      <c r="E661" s="257">
        <v>0</v>
      </c>
      <c r="F661" s="232">
        <v>1</v>
      </c>
      <c r="G661" s="40"/>
      <c r="H661" s="29"/>
      <c r="I661" s="9"/>
      <c r="J661" s="9"/>
      <c r="K661" s="9"/>
      <c r="L661" s="9"/>
      <c r="M661" s="9"/>
      <c r="N661" s="185" t="str">
        <f t="shared" si="47"/>
        <v/>
      </c>
      <c r="O661" s="159" t="str">
        <f t="shared" si="48"/>
        <v/>
      </c>
      <c r="P661" s="63"/>
    </row>
    <row r="662" spans="1:16" hidden="1">
      <c r="A662" s="151" t="s">
        <v>121</v>
      </c>
      <c r="B662" s="34" t="s">
        <v>170</v>
      </c>
      <c r="C662" s="40" t="s">
        <v>139</v>
      </c>
      <c r="D662" s="34" t="s">
        <v>91</v>
      </c>
      <c r="E662" s="257">
        <v>5.6256478740392787E-2</v>
      </c>
      <c r="F662" s="232">
        <v>1</v>
      </c>
      <c r="G662" s="40"/>
      <c r="H662" s="29">
        <v>3</v>
      </c>
      <c r="I662" s="9">
        <v>3</v>
      </c>
      <c r="J662" s="9">
        <v>2</v>
      </c>
      <c r="K662" s="9">
        <v>2</v>
      </c>
      <c r="L662" s="9">
        <v>1</v>
      </c>
      <c r="M662" s="9">
        <v>2</v>
      </c>
      <c r="N662" s="185">
        <f t="shared" si="47"/>
        <v>0.50042652380814845</v>
      </c>
      <c r="O662" s="159">
        <f t="shared" si="48"/>
        <v>0.50042652380814845</v>
      </c>
      <c r="P662" s="63"/>
    </row>
    <row r="663" spans="1:16" hidden="1">
      <c r="A663" s="151" t="s">
        <v>121</v>
      </c>
      <c r="B663" s="34" t="s">
        <v>170</v>
      </c>
      <c r="C663" s="40" t="s">
        <v>139</v>
      </c>
      <c r="D663" s="34" t="s">
        <v>95</v>
      </c>
      <c r="E663" s="257">
        <v>4.3320427336167665E-2</v>
      </c>
      <c r="F663" s="232">
        <v>1</v>
      </c>
      <c r="G663" s="40"/>
      <c r="H663" s="29">
        <v>3</v>
      </c>
      <c r="I663" s="9">
        <v>3</v>
      </c>
      <c r="J663" s="9">
        <v>2</v>
      </c>
      <c r="K663" s="9">
        <v>2</v>
      </c>
      <c r="L663" s="9">
        <v>1</v>
      </c>
      <c r="M663" s="9">
        <v>2</v>
      </c>
      <c r="N663" s="185">
        <f t="shared" si="47"/>
        <v>0.50042652380814845</v>
      </c>
      <c r="O663" s="159">
        <f t="shared" si="48"/>
        <v>0.50042652380814845</v>
      </c>
      <c r="P663" s="63"/>
    </row>
    <row r="664" spans="1:16" hidden="1">
      <c r="A664" s="151" t="s">
        <v>121</v>
      </c>
      <c r="B664" s="34" t="s">
        <v>170</v>
      </c>
      <c r="C664" s="40" t="s">
        <v>139</v>
      </c>
      <c r="D664" s="34" t="s">
        <v>99</v>
      </c>
      <c r="E664" s="257">
        <v>0</v>
      </c>
      <c r="F664" s="232">
        <v>1</v>
      </c>
      <c r="G664" s="40"/>
      <c r="H664" s="29"/>
      <c r="I664" s="9"/>
      <c r="J664" s="9"/>
      <c r="K664" s="9"/>
      <c r="L664" s="9"/>
      <c r="M664" s="9"/>
      <c r="N664" s="185" t="str">
        <f t="shared" si="47"/>
        <v/>
      </c>
      <c r="O664" s="159" t="str">
        <f t="shared" si="48"/>
        <v/>
      </c>
      <c r="P664" s="63"/>
    </row>
    <row r="665" spans="1:16" hidden="1">
      <c r="A665" s="151" t="s">
        <v>121</v>
      </c>
      <c r="B665" s="34" t="s">
        <v>185</v>
      </c>
      <c r="C665" s="40" t="s">
        <v>139</v>
      </c>
      <c r="D665" s="34" t="s">
        <v>85</v>
      </c>
      <c r="E665" s="257">
        <v>0</v>
      </c>
      <c r="F665" s="232">
        <v>1</v>
      </c>
      <c r="G665" s="40"/>
      <c r="H665" s="29"/>
      <c r="I665" s="9"/>
      <c r="J665" s="9"/>
      <c r="K665" s="9"/>
      <c r="L665" s="9"/>
      <c r="M665" s="9"/>
      <c r="N665" s="185" t="str">
        <f t="shared" si="47"/>
        <v/>
      </c>
      <c r="O665" s="159" t="str">
        <f t="shared" si="48"/>
        <v/>
      </c>
      <c r="P665" s="63"/>
    </row>
    <row r="666" spans="1:16" hidden="1">
      <c r="A666" s="151" t="s">
        <v>121</v>
      </c>
      <c r="B666" s="34" t="s">
        <v>185</v>
      </c>
      <c r="C666" s="40" t="s">
        <v>139</v>
      </c>
      <c r="D666" s="34" t="s">
        <v>86</v>
      </c>
      <c r="E666" s="257">
        <v>1</v>
      </c>
      <c r="F666" s="232">
        <v>1</v>
      </c>
      <c r="G666" s="40"/>
      <c r="H666" s="29">
        <v>2</v>
      </c>
      <c r="I666" s="9">
        <v>2</v>
      </c>
      <c r="J666" s="9">
        <v>2</v>
      </c>
      <c r="K666" s="9">
        <v>2</v>
      </c>
      <c r="L666" s="9">
        <v>1</v>
      </c>
      <c r="M666" s="9">
        <v>2</v>
      </c>
      <c r="N666" s="185">
        <f t="shared" si="47"/>
        <v>0.38795788889711302</v>
      </c>
      <c r="O666" s="159">
        <f t="shared" si="48"/>
        <v>0.38795788889711302</v>
      </c>
      <c r="P666" s="63"/>
    </row>
    <row r="667" spans="1:16" hidden="1">
      <c r="A667" s="151" t="s">
        <v>37</v>
      </c>
      <c r="B667" s="34" t="s">
        <v>353</v>
      </c>
      <c r="C667" s="40" t="s">
        <v>139</v>
      </c>
      <c r="D667" s="34" t="s">
        <v>85</v>
      </c>
      <c r="E667" s="257">
        <f>Intentionally_produced_MPs!B127</f>
        <v>0</v>
      </c>
      <c r="F667" s="232">
        <v>1</v>
      </c>
      <c r="G667" s="40"/>
      <c r="H667" s="29"/>
      <c r="I667" s="9"/>
      <c r="J667" s="9"/>
      <c r="K667" s="9"/>
      <c r="L667" s="9"/>
      <c r="M667" s="9"/>
      <c r="N667" s="185" t="str">
        <f t="shared" si="47"/>
        <v/>
      </c>
      <c r="O667" s="159" t="str">
        <f t="shared" si="48"/>
        <v/>
      </c>
      <c r="P667" s="63"/>
    </row>
    <row r="668" spans="1:16" hidden="1">
      <c r="A668" s="151" t="s">
        <v>37</v>
      </c>
      <c r="B668" s="34" t="s">
        <v>353</v>
      </c>
      <c r="C668" s="40" t="s">
        <v>139</v>
      </c>
      <c r="D668" s="34" t="s">
        <v>86</v>
      </c>
      <c r="E668" s="257">
        <f>Intentionally_produced_MPs!B128</f>
        <v>0.27128102999855674</v>
      </c>
      <c r="F668" s="232">
        <v>1</v>
      </c>
      <c r="G668" s="40"/>
      <c r="H668" s="29">
        <v>3</v>
      </c>
      <c r="I668" s="9">
        <v>2</v>
      </c>
      <c r="J668" s="9">
        <v>3</v>
      </c>
      <c r="K668" s="9">
        <v>3</v>
      </c>
      <c r="L668" s="9">
        <v>3</v>
      </c>
      <c r="M668" s="9">
        <v>3</v>
      </c>
      <c r="N668" s="185">
        <f t="shared" si="47"/>
        <v>1.2132328390150593</v>
      </c>
      <c r="O668" s="159">
        <f t="shared" si="48"/>
        <v>1.1713319510247036</v>
      </c>
      <c r="P668" s="63" t="s">
        <v>383</v>
      </c>
    </row>
    <row r="669" spans="1:16" hidden="1">
      <c r="A669" s="151" t="s">
        <v>37</v>
      </c>
      <c r="B669" s="34" t="s">
        <v>353</v>
      </c>
      <c r="C669" s="40" t="s">
        <v>139</v>
      </c>
      <c r="D669" s="34" t="s">
        <v>87</v>
      </c>
      <c r="E669" s="257">
        <f>Intentionally_produced_MPs!B129</f>
        <v>0</v>
      </c>
      <c r="F669" s="232">
        <v>1</v>
      </c>
      <c r="G669" s="40"/>
      <c r="H669" s="29"/>
      <c r="I669" s="9"/>
      <c r="J669" s="9"/>
      <c r="K669" s="9"/>
      <c r="L669" s="9"/>
      <c r="M669" s="9"/>
      <c r="N669" s="185" t="str">
        <f t="shared" si="47"/>
        <v/>
      </c>
      <c r="O669" s="159" t="str">
        <f t="shared" si="48"/>
        <v/>
      </c>
      <c r="P669" s="63"/>
    </row>
    <row r="670" spans="1:16" hidden="1">
      <c r="A670" s="151" t="s">
        <v>37</v>
      </c>
      <c r="B670" s="34" t="s">
        <v>353</v>
      </c>
      <c r="C670" s="40" t="s">
        <v>139</v>
      </c>
      <c r="D670" s="34" t="s">
        <v>88</v>
      </c>
      <c r="E670" s="257">
        <f>Intentionally_produced_MPs!B130</f>
        <v>0</v>
      </c>
      <c r="F670" s="232">
        <v>1</v>
      </c>
      <c r="G670" s="40"/>
      <c r="H670" s="29"/>
      <c r="I670" s="9"/>
      <c r="J670" s="9"/>
      <c r="K670" s="9"/>
      <c r="L670" s="9"/>
      <c r="M670" s="9"/>
      <c r="N670" s="185" t="str">
        <f t="shared" si="47"/>
        <v/>
      </c>
      <c r="O670" s="159" t="str">
        <f t="shared" si="48"/>
        <v/>
      </c>
      <c r="P670" s="63"/>
    </row>
    <row r="671" spans="1:16" hidden="1">
      <c r="A671" s="151" t="s">
        <v>37</v>
      </c>
      <c r="B671" s="34" t="s">
        <v>353</v>
      </c>
      <c r="C671" s="40" t="s">
        <v>139</v>
      </c>
      <c r="D671" s="34" t="s">
        <v>89</v>
      </c>
      <c r="E671" s="257">
        <f>Intentionally_produced_MPs!B131</f>
        <v>0</v>
      </c>
      <c r="F671" s="232">
        <v>1</v>
      </c>
      <c r="G671" s="40"/>
      <c r="H671" s="29"/>
      <c r="I671" s="9"/>
      <c r="J671" s="9"/>
      <c r="K671" s="9"/>
      <c r="L671" s="9"/>
      <c r="M671" s="9"/>
      <c r="N671" s="185" t="str">
        <f t="shared" si="47"/>
        <v/>
      </c>
      <c r="O671" s="159" t="str">
        <f t="shared" si="48"/>
        <v/>
      </c>
      <c r="P671" s="63"/>
    </row>
    <row r="672" spans="1:16" hidden="1">
      <c r="A672" s="151" t="s">
        <v>37</v>
      </c>
      <c r="B672" s="34" t="s">
        <v>353</v>
      </c>
      <c r="C672" s="40" t="s">
        <v>139</v>
      </c>
      <c r="D672" s="34" t="s">
        <v>90</v>
      </c>
      <c r="E672" s="257">
        <f>Intentionally_produced_MPs!B132</f>
        <v>0</v>
      </c>
      <c r="F672" s="232">
        <v>1</v>
      </c>
      <c r="G672" s="40"/>
      <c r="H672" s="29"/>
      <c r="I672" s="9"/>
      <c r="J672" s="9"/>
      <c r="K672" s="9"/>
      <c r="L672" s="9"/>
      <c r="M672" s="9"/>
      <c r="N672" s="185" t="str">
        <f t="shared" si="47"/>
        <v/>
      </c>
      <c r="O672" s="159" t="str">
        <f t="shared" si="48"/>
        <v/>
      </c>
      <c r="P672" s="63"/>
    </row>
    <row r="673" spans="1:16" hidden="1">
      <c r="A673" s="151" t="s">
        <v>37</v>
      </c>
      <c r="B673" s="34" t="s">
        <v>353</v>
      </c>
      <c r="C673" s="40" t="s">
        <v>139</v>
      </c>
      <c r="D673" s="34" t="s">
        <v>91</v>
      </c>
      <c r="E673" s="257">
        <f>Intentionally_produced_MPs!B133</f>
        <v>0</v>
      </c>
      <c r="F673" s="232">
        <v>1</v>
      </c>
      <c r="G673" s="40"/>
      <c r="H673" s="29"/>
      <c r="I673" s="9"/>
      <c r="J673" s="9"/>
      <c r="K673" s="9"/>
      <c r="L673" s="9"/>
      <c r="M673" s="9"/>
      <c r="N673" s="185" t="str">
        <f t="shared" si="47"/>
        <v/>
      </c>
      <c r="O673" s="159" t="str">
        <f t="shared" si="48"/>
        <v/>
      </c>
      <c r="P673" s="63"/>
    </row>
    <row r="674" spans="1:16" hidden="1">
      <c r="A674" s="151" t="s">
        <v>37</v>
      </c>
      <c r="B674" s="34" t="s">
        <v>353</v>
      </c>
      <c r="C674" s="40" t="s">
        <v>139</v>
      </c>
      <c r="D674" s="34" t="s">
        <v>92</v>
      </c>
      <c r="E674" s="257">
        <f>Intentionally_produced_MPs!B134</f>
        <v>0</v>
      </c>
      <c r="F674" s="232">
        <v>1</v>
      </c>
      <c r="G674" s="40"/>
      <c r="H674" s="29"/>
      <c r="I674" s="9"/>
      <c r="J674" s="9"/>
      <c r="K674" s="9"/>
      <c r="L674" s="9"/>
      <c r="M674" s="9"/>
      <c r="N674" s="185" t="str">
        <f t="shared" si="47"/>
        <v/>
      </c>
      <c r="O674" s="159" t="str">
        <f t="shared" si="48"/>
        <v/>
      </c>
      <c r="P674" s="63"/>
    </row>
    <row r="675" spans="1:16" hidden="1">
      <c r="A675" s="151" t="s">
        <v>37</v>
      </c>
      <c r="B675" s="34" t="s">
        <v>353</v>
      </c>
      <c r="C675" s="40" t="s">
        <v>139</v>
      </c>
      <c r="D675" s="34" t="s">
        <v>93</v>
      </c>
      <c r="E675" s="257">
        <f>Intentionally_produced_MPs!B135</f>
        <v>0.23555374262145426</v>
      </c>
      <c r="F675" s="232">
        <v>1</v>
      </c>
      <c r="G675" s="40"/>
      <c r="H675" s="29">
        <v>3</v>
      </c>
      <c r="I675" s="9">
        <v>2</v>
      </c>
      <c r="J675" s="9">
        <v>3</v>
      </c>
      <c r="K675" s="9">
        <v>3</v>
      </c>
      <c r="L675" s="9">
        <v>3</v>
      </c>
      <c r="M675" s="9">
        <v>3</v>
      </c>
      <c r="N675" s="185">
        <f t="shared" si="47"/>
        <v>1.2132328390150593</v>
      </c>
      <c r="O675" s="159">
        <f t="shared" si="48"/>
        <v>1.1713319510247036</v>
      </c>
      <c r="P675" s="63"/>
    </row>
    <row r="676" spans="1:16" hidden="1">
      <c r="A676" s="151" t="s">
        <v>37</v>
      </c>
      <c r="B676" s="34" t="s">
        <v>353</v>
      </c>
      <c r="C676" s="40" t="s">
        <v>139</v>
      </c>
      <c r="D676" s="34" t="s">
        <v>94</v>
      </c>
      <c r="E676" s="257">
        <f>Intentionally_produced_MPs!B136</f>
        <v>0</v>
      </c>
      <c r="F676" s="232">
        <v>1</v>
      </c>
      <c r="G676" s="40"/>
      <c r="H676" s="29"/>
      <c r="I676" s="9"/>
      <c r="J676" s="9"/>
      <c r="K676" s="9"/>
      <c r="L676" s="9"/>
      <c r="M676" s="9"/>
      <c r="N676" s="185" t="str">
        <f t="shared" si="47"/>
        <v/>
      </c>
      <c r="O676" s="159" t="str">
        <f t="shared" si="48"/>
        <v/>
      </c>
      <c r="P676" s="63"/>
    </row>
    <row r="677" spans="1:16" hidden="1">
      <c r="A677" s="151" t="s">
        <v>37</v>
      </c>
      <c r="B677" s="34" t="s">
        <v>353</v>
      </c>
      <c r="C677" s="40" t="s">
        <v>139</v>
      </c>
      <c r="D677" s="34" t="s">
        <v>95</v>
      </c>
      <c r="E677" s="257">
        <f>Intentionally_produced_MPs!B137</f>
        <v>5.6605334263949885E-3</v>
      </c>
      <c r="F677" s="232">
        <v>1</v>
      </c>
      <c r="G677" s="40"/>
      <c r="H677" s="29">
        <v>3</v>
      </c>
      <c r="I677" s="9">
        <v>2</v>
      </c>
      <c r="J677" s="9">
        <v>3</v>
      </c>
      <c r="K677" s="9">
        <v>3</v>
      </c>
      <c r="L677" s="9">
        <v>3</v>
      </c>
      <c r="M677" s="9">
        <v>3</v>
      </c>
      <c r="N677" s="185">
        <f t="shared" si="47"/>
        <v>1.2132328390150593</v>
      </c>
      <c r="O677" s="159">
        <f t="shared" si="48"/>
        <v>1.1713319510247036</v>
      </c>
      <c r="P677" s="63"/>
    </row>
    <row r="678" spans="1:16" hidden="1">
      <c r="A678" s="151" t="s">
        <v>37</v>
      </c>
      <c r="B678" s="34" t="s">
        <v>353</v>
      </c>
      <c r="C678" s="40" t="s">
        <v>139</v>
      </c>
      <c r="D678" s="34" t="s">
        <v>96</v>
      </c>
      <c r="E678" s="257">
        <f>Intentionally_produced_MPs!B138</f>
        <v>0</v>
      </c>
      <c r="F678" s="232">
        <v>1</v>
      </c>
      <c r="G678" s="40"/>
      <c r="H678" s="29"/>
      <c r="I678" s="9"/>
      <c r="J678" s="9"/>
      <c r="K678" s="9"/>
      <c r="L678" s="9"/>
      <c r="M678" s="9"/>
      <c r="N678" s="185" t="str">
        <f t="shared" si="47"/>
        <v/>
      </c>
      <c r="O678" s="159" t="str">
        <f t="shared" si="48"/>
        <v/>
      </c>
      <c r="P678" s="63"/>
    </row>
    <row r="679" spans="1:16" hidden="1">
      <c r="A679" s="151" t="s">
        <v>37</v>
      </c>
      <c r="B679" s="34" t="s">
        <v>353</v>
      </c>
      <c r="C679" s="40" t="s">
        <v>139</v>
      </c>
      <c r="D679" s="34" t="s">
        <v>97</v>
      </c>
      <c r="E679" s="257">
        <f>Intentionally_produced_MPs!B139</f>
        <v>0</v>
      </c>
      <c r="F679" s="232">
        <v>1</v>
      </c>
      <c r="G679" s="40"/>
      <c r="H679" s="29">
        <v>3</v>
      </c>
      <c r="I679" s="9">
        <v>2</v>
      </c>
      <c r="J679" s="9">
        <v>3</v>
      </c>
      <c r="K679" s="9">
        <v>3</v>
      </c>
      <c r="L679" s="9">
        <v>3</v>
      </c>
      <c r="M679" s="9">
        <v>3</v>
      </c>
      <c r="N679" s="185">
        <f t="shared" si="47"/>
        <v>1.2132328390150593</v>
      </c>
      <c r="O679" s="159">
        <f t="shared" si="48"/>
        <v>1.1713319510247036</v>
      </c>
      <c r="P679" s="63"/>
    </row>
    <row r="680" spans="1:16" hidden="1">
      <c r="A680" s="151" t="s">
        <v>37</v>
      </c>
      <c r="B680" s="34" t="s">
        <v>353</v>
      </c>
      <c r="C680" s="40" t="s">
        <v>139</v>
      </c>
      <c r="D680" s="34" t="s">
        <v>98</v>
      </c>
      <c r="E680" s="257">
        <f>Intentionally_produced_MPs!B140</f>
        <v>2.0189518931614638E-3</v>
      </c>
      <c r="F680" s="232">
        <v>1</v>
      </c>
      <c r="G680" s="40"/>
      <c r="H680" s="29">
        <v>3</v>
      </c>
      <c r="I680" s="9">
        <v>2</v>
      </c>
      <c r="J680" s="9">
        <v>3</v>
      </c>
      <c r="K680" s="9">
        <v>3</v>
      </c>
      <c r="L680" s="9">
        <v>3</v>
      </c>
      <c r="M680" s="9">
        <v>3</v>
      </c>
      <c r="N680" s="185">
        <f t="shared" si="47"/>
        <v>1.2132328390150593</v>
      </c>
      <c r="O680" s="159">
        <f t="shared" si="48"/>
        <v>1.1713319510247036</v>
      </c>
      <c r="P680" s="63"/>
    </row>
    <row r="681" spans="1:16" hidden="1">
      <c r="A681" s="151" t="s">
        <v>256</v>
      </c>
      <c r="B681" s="34" t="s">
        <v>267</v>
      </c>
      <c r="C681" s="40" t="s">
        <v>180</v>
      </c>
      <c r="D681" s="69" t="s">
        <v>96</v>
      </c>
      <c r="E681" s="848">
        <v>0.43243243243243251</v>
      </c>
      <c r="F681" s="34">
        <v>1</v>
      </c>
      <c r="G681" s="339" t="s">
        <v>110</v>
      </c>
      <c r="H681" s="29">
        <v>1</v>
      </c>
      <c r="I681" s="9"/>
      <c r="J681" s="9">
        <v>1</v>
      </c>
      <c r="K681" s="9">
        <v>1</v>
      </c>
      <c r="L681" s="9">
        <v>2</v>
      </c>
      <c r="M681" s="9">
        <v>2</v>
      </c>
      <c r="N681" s="185">
        <f t="shared" si="47"/>
        <v>0.35859414261160716</v>
      </c>
      <c r="O681" s="159" t="str">
        <f t="shared" si="48"/>
        <v/>
      </c>
      <c r="P681" s="63"/>
    </row>
    <row r="682" spans="1:16" hidden="1">
      <c r="A682" s="151" t="s">
        <v>256</v>
      </c>
      <c r="B682" s="34" t="s">
        <v>267</v>
      </c>
      <c r="C682" s="40" t="s">
        <v>180</v>
      </c>
      <c r="D682" s="69" t="s">
        <v>97</v>
      </c>
      <c r="E682" s="848">
        <v>0.66998341625207292</v>
      </c>
      <c r="F682" s="34">
        <v>1</v>
      </c>
      <c r="G682" s="339" t="s">
        <v>110</v>
      </c>
      <c r="H682" s="29">
        <v>1</v>
      </c>
      <c r="I682" s="9"/>
      <c r="J682" s="9">
        <v>1</v>
      </c>
      <c r="K682" s="9">
        <v>1</v>
      </c>
      <c r="L682" s="9">
        <v>2</v>
      </c>
      <c r="M682" s="9">
        <v>2</v>
      </c>
      <c r="N682" s="185">
        <f t="shared" si="47"/>
        <v>0.35859414261160716</v>
      </c>
      <c r="O682" s="159" t="str">
        <f t="shared" si="48"/>
        <v/>
      </c>
      <c r="P682" s="63"/>
    </row>
    <row r="683" spans="1:16" hidden="1">
      <c r="A683" s="151" t="s">
        <v>256</v>
      </c>
      <c r="B683" s="34" t="s">
        <v>267</v>
      </c>
      <c r="C683" s="40" t="s">
        <v>180</v>
      </c>
      <c r="D683" s="69" t="s">
        <v>95</v>
      </c>
      <c r="E683" s="848">
        <v>1</v>
      </c>
      <c r="F683" s="34">
        <v>1</v>
      </c>
      <c r="G683" s="339" t="s">
        <v>110</v>
      </c>
      <c r="H683" s="29">
        <v>1</v>
      </c>
      <c r="I683" s="9"/>
      <c r="J683" s="9">
        <v>1</v>
      </c>
      <c r="K683" s="9">
        <v>1</v>
      </c>
      <c r="L683" s="9">
        <v>2</v>
      </c>
      <c r="M683" s="9">
        <v>2</v>
      </c>
      <c r="N683" s="185">
        <f t="shared" si="47"/>
        <v>0.35859414261160716</v>
      </c>
      <c r="O683" s="159" t="str">
        <f t="shared" si="48"/>
        <v/>
      </c>
      <c r="P683" s="63"/>
    </row>
    <row r="684" spans="1:16" hidden="1">
      <c r="A684" s="151" t="s">
        <v>256</v>
      </c>
      <c r="B684" s="34" t="s">
        <v>267</v>
      </c>
      <c r="C684" s="40" t="s">
        <v>180</v>
      </c>
      <c r="D684" s="69" t="s">
        <v>93</v>
      </c>
      <c r="E684" s="848">
        <v>0.67391304347826086</v>
      </c>
      <c r="F684" s="34">
        <v>1</v>
      </c>
      <c r="G684" s="339" t="s">
        <v>110</v>
      </c>
      <c r="H684" s="29">
        <v>1</v>
      </c>
      <c r="I684" s="9"/>
      <c r="J684" s="9">
        <v>1</v>
      </c>
      <c r="K684" s="9">
        <v>1</v>
      </c>
      <c r="L684" s="9">
        <v>2</v>
      </c>
      <c r="M684" s="9">
        <v>2</v>
      </c>
      <c r="N684" s="185">
        <f t="shared" si="47"/>
        <v>0.35859414261160716</v>
      </c>
      <c r="O684" s="159" t="str">
        <f t="shared" si="48"/>
        <v/>
      </c>
      <c r="P684" s="63"/>
    </row>
    <row r="685" spans="1:16" hidden="1">
      <c r="A685" s="151" t="s">
        <v>256</v>
      </c>
      <c r="B685" s="34" t="s">
        <v>267</v>
      </c>
      <c r="C685" s="40" t="s">
        <v>180</v>
      </c>
      <c r="D685" s="69" t="s">
        <v>98</v>
      </c>
      <c r="E685" s="848">
        <v>1</v>
      </c>
      <c r="F685" s="34">
        <v>1</v>
      </c>
      <c r="G685" s="339" t="s">
        <v>110</v>
      </c>
      <c r="H685" s="29">
        <v>1</v>
      </c>
      <c r="I685" s="9"/>
      <c r="J685" s="9">
        <v>1</v>
      </c>
      <c r="K685" s="9">
        <v>1</v>
      </c>
      <c r="L685" s="9">
        <v>2</v>
      </c>
      <c r="M685" s="9">
        <v>2</v>
      </c>
      <c r="N685" s="185">
        <f t="shared" si="47"/>
        <v>0.35859414261160716</v>
      </c>
      <c r="O685" s="159" t="str">
        <f t="shared" si="48"/>
        <v/>
      </c>
      <c r="P685" s="63"/>
    </row>
    <row r="686" spans="1:16" hidden="1">
      <c r="A686" s="151" t="s">
        <v>37</v>
      </c>
      <c r="B686" s="34" t="s">
        <v>160</v>
      </c>
      <c r="C686" s="40" t="s">
        <v>139</v>
      </c>
      <c r="D686" s="34" t="s">
        <v>85</v>
      </c>
      <c r="E686" s="257">
        <f>Intentionally_produced_MPs!J127</f>
        <v>5.5555555555555546E-2</v>
      </c>
      <c r="F686" s="232">
        <v>1</v>
      </c>
      <c r="G686" s="40"/>
      <c r="H686" s="29">
        <v>3</v>
      </c>
      <c r="I686" s="9">
        <v>2</v>
      </c>
      <c r="J686" s="9">
        <v>3</v>
      </c>
      <c r="K686" s="9">
        <v>3</v>
      </c>
      <c r="L686" s="9">
        <v>3</v>
      </c>
      <c r="M686" s="9">
        <v>3</v>
      </c>
      <c r="N686" s="185">
        <f t="shared" si="47"/>
        <v>1.2132328390150593</v>
      </c>
      <c r="O686" s="159">
        <f t="shared" si="48"/>
        <v>1.1713319510247036</v>
      </c>
      <c r="P686" s="63"/>
    </row>
    <row r="687" spans="1:16" hidden="1">
      <c r="A687" s="151" t="s">
        <v>37</v>
      </c>
      <c r="B687" s="34" t="s">
        <v>160</v>
      </c>
      <c r="C687" s="40" t="s">
        <v>139</v>
      </c>
      <c r="D687" s="34" t="s">
        <v>86</v>
      </c>
      <c r="E687" s="257">
        <f>Intentionally_produced_MPs!J128</f>
        <v>8.8868167073346722E-3</v>
      </c>
      <c r="F687" s="232">
        <v>1</v>
      </c>
      <c r="G687" s="40"/>
      <c r="H687" s="29">
        <v>3</v>
      </c>
      <c r="I687" s="9">
        <v>2</v>
      </c>
      <c r="J687" s="9">
        <v>3</v>
      </c>
      <c r="K687" s="9">
        <v>3</v>
      </c>
      <c r="L687" s="9">
        <v>3</v>
      </c>
      <c r="M687" s="9">
        <v>3</v>
      </c>
      <c r="N687" s="185">
        <f t="shared" si="47"/>
        <v>1.2132328390150593</v>
      </c>
      <c r="O687" s="159">
        <f t="shared" si="48"/>
        <v>1.1713319510247036</v>
      </c>
      <c r="P687" s="63"/>
    </row>
    <row r="688" spans="1:16" hidden="1">
      <c r="A688" s="151" t="s">
        <v>37</v>
      </c>
      <c r="B688" s="34" t="s">
        <v>160</v>
      </c>
      <c r="C688" s="40" t="s">
        <v>139</v>
      </c>
      <c r="D688" s="34" t="s">
        <v>87</v>
      </c>
      <c r="E688" s="257">
        <f>Intentionally_produced_MPs!J129</f>
        <v>0</v>
      </c>
      <c r="F688" s="232">
        <v>1</v>
      </c>
      <c r="G688" s="40"/>
      <c r="H688" s="29"/>
      <c r="I688" s="9"/>
      <c r="J688" s="9"/>
      <c r="K688" s="9"/>
      <c r="L688" s="9"/>
      <c r="M688" s="9"/>
      <c r="N688" s="185" t="str">
        <f t="shared" si="47"/>
        <v/>
      </c>
      <c r="O688" s="159" t="str">
        <f t="shared" si="48"/>
        <v/>
      </c>
      <c r="P688" s="63"/>
    </row>
    <row r="689" spans="1:16" hidden="1">
      <c r="A689" s="151" t="s">
        <v>37</v>
      </c>
      <c r="B689" s="34" t="s">
        <v>160</v>
      </c>
      <c r="C689" s="40" t="s">
        <v>139</v>
      </c>
      <c r="D689" s="34" t="s">
        <v>88</v>
      </c>
      <c r="E689" s="257">
        <f>Intentionally_produced_MPs!J130</f>
        <v>0</v>
      </c>
      <c r="F689" s="232">
        <v>1</v>
      </c>
      <c r="G689" s="40"/>
      <c r="H689" s="29"/>
      <c r="I689" s="9"/>
      <c r="J689" s="9"/>
      <c r="K689" s="9"/>
      <c r="L689" s="9"/>
      <c r="M689" s="9"/>
      <c r="N689" s="185" t="str">
        <f t="shared" si="47"/>
        <v/>
      </c>
      <c r="O689" s="159" t="str">
        <f t="shared" si="48"/>
        <v/>
      </c>
      <c r="P689" s="63"/>
    </row>
    <row r="690" spans="1:16" hidden="1">
      <c r="A690" s="151" t="s">
        <v>37</v>
      </c>
      <c r="B690" s="34" t="s">
        <v>160</v>
      </c>
      <c r="C690" s="40" t="s">
        <v>139</v>
      </c>
      <c r="D690" s="34" t="s">
        <v>89</v>
      </c>
      <c r="E690" s="257">
        <f>Intentionally_produced_MPs!J131</f>
        <v>0</v>
      </c>
      <c r="F690" s="232">
        <v>1</v>
      </c>
      <c r="G690" s="40"/>
      <c r="H690" s="29"/>
      <c r="I690" s="9"/>
      <c r="J690" s="9"/>
      <c r="K690" s="9"/>
      <c r="L690" s="9"/>
      <c r="M690" s="9"/>
      <c r="N690" s="185" t="str">
        <f t="shared" si="47"/>
        <v/>
      </c>
      <c r="O690" s="159" t="str">
        <f t="shared" si="48"/>
        <v/>
      </c>
      <c r="P690" s="63"/>
    </row>
    <row r="691" spans="1:16" hidden="1">
      <c r="A691" s="151" t="s">
        <v>37</v>
      </c>
      <c r="B691" s="34" t="s">
        <v>160</v>
      </c>
      <c r="C691" s="40" t="s">
        <v>139</v>
      </c>
      <c r="D691" s="34" t="s">
        <v>90</v>
      </c>
      <c r="E691" s="257">
        <f>Intentionally_produced_MPs!J132</f>
        <v>5.5555555555555546E-2</v>
      </c>
      <c r="F691" s="232">
        <v>1</v>
      </c>
      <c r="G691" s="40"/>
      <c r="H691" s="29">
        <v>3</v>
      </c>
      <c r="I691" s="9">
        <v>2</v>
      </c>
      <c r="J691" s="9">
        <v>3</v>
      </c>
      <c r="K691" s="9">
        <v>3</v>
      </c>
      <c r="L691" s="9">
        <v>3</v>
      </c>
      <c r="M691" s="9">
        <v>3</v>
      </c>
      <c r="N691" s="185">
        <f t="shared" si="47"/>
        <v>1.2132328390150593</v>
      </c>
      <c r="O691" s="159">
        <f t="shared" si="48"/>
        <v>1.1713319510247036</v>
      </c>
      <c r="P691" s="63"/>
    </row>
    <row r="692" spans="1:16" hidden="1">
      <c r="A692" s="151" t="s">
        <v>37</v>
      </c>
      <c r="B692" s="34" t="s">
        <v>160</v>
      </c>
      <c r="C692" s="40" t="s">
        <v>139</v>
      </c>
      <c r="D692" s="34" t="s">
        <v>91</v>
      </c>
      <c r="E692" s="257">
        <f>Intentionally_produced_MPs!J133</f>
        <v>0.1555597303733175</v>
      </c>
      <c r="F692" s="232">
        <v>1</v>
      </c>
      <c r="G692" s="40"/>
      <c r="H692" s="29">
        <v>3</v>
      </c>
      <c r="I692" s="9">
        <v>2</v>
      </c>
      <c r="J692" s="9">
        <v>3</v>
      </c>
      <c r="K692" s="9">
        <v>3</v>
      </c>
      <c r="L692" s="9">
        <v>3</v>
      </c>
      <c r="M692" s="9">
        <v>3</v>
      </c>
      <c r="N692" s="185">
        <f t="shared" si="47"/>
        <v>1.2132328390150593</v>
      </c>
      <c r="O692" s="159">
        <f t="shared" si="48"/>
        <v>1.1713319510247036</v>
      </c>
      <c r="P692" s="63"/>
    </row>
    <row r="693" spans="1:16" hidden="1">
      <c r="A693" s="151" t="s">
        <v>37</v>
      </c>
      <c r="B693" s="34" t="s">
        <v>160</v>
      </c>
      <c r="C693" s="40" t="s">
        <v>139</v>
      </c>
      <c r="D693" s="34" t="s">
        <v>92</v>
      </c>
      <c r="E693" s="257">
        <f>Intentionally_produced_MPs!J134</f>
        <v>0</v>
      </c>
      <c r="F693" s="232">
        <v>1</v>
      </c>
      <c r="G693" s="40"/>
      <c r="H693" s="29"/>
      <c r="I693" s="9"/>
      <c r="J693" s="9"/>
      <c r="K693" s="9"/>
      <c r="L693" s="9"/>
      <c r="M693" s="9"/>
      <c r="N693" s="185" t="str">
        <f t="shared" si="47"/>
        <v/>
      </c>
      <c r="O693" s="159" t="str">
        <f t="shared" si="48"/>
        <v/>
      </c>
      <c r="P693" s="63"/>
    </row>
    <row r="694" spans="1:16" hidden="1">
      <c r="A694" s="151" t="s">
        <v>37</v>
      </c>
      <c r="B694" s="34" t="s">
        <v>160</v>
      </c>
      <c r="C694" s="40" t="s">
        <v>139</v>
      </c>
      <c r="D694" s="34" t="s">
        <v>93</v>
      </c>
      <c r="E694" s="257">
        <f>Intentionally_produced_MPs!J135</f>
        <v>4.7372437949387489E-3</v>
      </c>
      <c r="F694" s="232">
        <v>1</v>
      </c>
      <c r="G694" s="40"/>
      <c r="H694" s="29">
        <v>3</v>
      </c>
      <c r="I694" s="9">
        <v>2</v>
      </c>
      <c r="J694" s="9">
        <v>3</v>
      </c>
      <c r="K694" s="9">
        <v>3</v>
      </c>
      <c r="L694" s="9">
        <v>3</v>
      </c>
      <c r="M694" s="9">
        <v>3</v>
      </c>
      <c r="N694" s="185">
        <f t="shared" si="47"/>
        <v>1.2132328390150593</v>
      </c>
      <c r="O694" s="159">
        <f t="shared" si="48"/>
        <v>1.1713319510247036</v>
      </c>
      <c r="P694" s="63"/>
    </row>
    <row r="695" spans="1:16" hidden="1">
      <c r="A695" s="151" t="s">
        <v>37</v>
      </c>
      <c r="B695" s="34" t="s">
        <v>160</v>
      </c>
      <c r="C695" s="40" t="s">
        <v>139</v>
      </c>
      <c r="D695" s="34" t="s">
        <v>94</v>
      </c>
      <c r="E695" s="257">
        <f>Intentionally_produced_MPs!J136</f>
        <v>0</v>
      </c>
      <c r="F695" s="232">
        <v>1</v>
      </c>
      <c r="G695" s="40"/>
      <c r="H695" s="29"/>
      <c r="I695" s="9"/>
      <c r="J695" s="9"/>
      <c r="K695" s="9"/>
      <c r="L695" s="9"/>
      <c r="M695" s="9"/>
      <c r="N695" s="185" t="str">
        <f t="shared" si="47"/>
        <v/>
      </c>
      <c r="O695" s="159" t="str">
        <f t="shared" si="48"/>
        <v/>
      </c>
      <c r="P695" s="63"/>
    </row>
    <row r="696" spans="1:16" hidden="1">
      <c r="A696" s="151" t="s">
        <v>37</v>
      </c>
      <c r="B696" s="34" t="s">
        <v>160</v>
      </c>
      <c r="C696" s="40" t="s">
        <v>139</v>
      </c>
      <c r="D696" s="34" t="s">
        <v>95</v>
      </c>
      <c r="E696" s="257">
        <f>Intentionally_produced_MPs!J137</f>
        <v>4.4333947817568178E-2</v>
      </c>
      <c r="F696" s="232">
        <v>1</v>
      </c>
      <c r="G696" s="40"/>
      <c r="H696" s="29">
        <v>3</v>
      </c>
      <c r="I696" s="9">
        <v>2</v>
      </c>
      <c r="J696" s="9">
        <v>3</v>
      </c>
      <c r="K696" s="9">
        <v>3</v>
      </c>
      <c r="L696" s="9">
        <v>3</v>
      </c>
      <c r="M696" s="9">
        <v>3</v>
      </c>
      <c r="N696" s="185">
        <f t="shared" si="47"/>
        <v>1.2132328390150593</v>
      </c>
      <c r="O696" s="159">
        <f t="shared" si="48"/>
        <v>1.1713319510247036</v>
      </c>
      <c r="P696" s="63"/>
    </row>
    <row r="697" spans="1:16" hidden="1">
      <c r="A697" s="151" t="s">
        <v>37</v>
      </c>
      <c r="B697" s="34" t="s">
        <v>160</v>
      </c>
      <c r="C697" s="40" t="s">
        <v>139</v>
      </c>
      <c r="D697" s="34" t="s">
        <v>96</v>
      </c>
      <c r="E697" s="257">
        <f>Intentionally_produced_MPs!J138</f>
        <v>0</v>
      </c>
      <c r="F697" s="232">
        <v>1</v>
      </c>
      <c r="G697" s="40"/>
      <c r="H697" s="29"/>
      <c r="I697" s="9"/>
      <c r="J697" s="9"/>
      <c r="K697" s="9"/>
      <c r="L697" s="9"/>
      <c r="M697" s="9"/>
      <c r="N697" s="185" t="str">
        <f t="shared" si="47"/>
        <v/>
      </c>
      <c r="O697" s="159" t="str">
        <f t="shared" si="48"/>
        <v/>
      </c>
      <c r="P697" s="63"/>
    </row>
    <row r="698" spans="1:16" hidden="1">
      <c r="A698" s="151" t="s">
        <v>37</v>
      </c>
      <c r="B698" s="34" t="s">
        <v>160</v>
      </c>
      <c r="C698" s="40" t="s">
        <v>139</v>
      </c>
      <c r="D698" s="34" t="s">
        <v>97</v>
      </c>
      <c r="E698" s="257">
        <f>Intentionally_produced_MPs!J139</f>
        <v>4.4586330230196494E-2</v>
      </c>
      <c r="F698" s="232">
        <v>1</v>
      </c>
      <c r="G698" s="40"/>
      <c r="H698" s="29">
        <v>3</v>
      </c>
      <c r="I698" s="9">
        <v>2</v>
      </c>
      <c r="J698" s="9">
        <v>3</v>
      </c>
      <c r="K698" s="9">
        <v>3</v>
      </c>
      <c r="L698" s="9">
        <v>3</v>
      </c>
      <c r="M698" s="9">
        <v>3</v>
      </c>
      <c r="N698" s="185">
        <f t="shared" si="47"/>
        <v>1.2132328390150593</v>
      </c>
      <c r="O698" s="159">
        <f t="shared" si="48"/>
        <v>1.1713319510247036</v>
      </c>
      <c r="P698" s="63"/>
    </row>
    <row r="699" spans="1:16" hidden="1">
      <c r="A699" s="151" t="s">
        <v>37</v>
      </c>
      <c r="B699" s="34" t="s">
        <v>160</v>
      </c>
      <c r="C699" s="40" t="s">
        <v>139</v>
      </c>
      <c r="D699" s="34" t="s">
        <v>98</v>
      </c>
      <c r="E699" s="257">
        <f>Intentionally_produced_MPs!J140</f>
        <v>6.8330054573633985E-3</v>
      </c>
      <c r="F699" s="232">
        <v>1</v>
      </c>
      <c r="G699" s="40"/>
      <c r="H699" s="29">
        <v>3</v>
      </c>
      <c r="I699" s="9">
        <v>2</v>
      </c>
      <c r="J699" s="9">
        <v>3</v>
      </c>
      <c r="K699" s="9">
        <v>3</v>
      </c>
      <c r="L699" s="9">
        <v>3</v>
      </c>
      <c r="M699" s="9">
        <v>3</v>
      </c>
      <c r="N699" s="185">
        <f t="shared" si="47"/>
        <v>1.2132328390150593</v>
      </c>
      <c r="O699" s="159">
        <f t="shared" si="48"/>
        <v>1.1713319510247036</v>
      </c>
      <c r="P699" s="63"/>
    </row>
    <row r="700" spans="1:16" hidden="1">
      <c r="A700" s="151" t="s">
        <v>256</v>
      </c>
      <c r="B700" s="34" t="s">
        <v>267</v>
      </c>
      <c r="C700" s="339" t="s">
        <v>182</v>
      </c>
      <c r="D700" s="69" t="s">
        <v>85</v>
      </c>
      <c r="E700" s="848">
        <v>0.15660919540229881</v>
      </c>
      <c r="F700" s="34">
        <v>1</v>
      </c>
      <c r="G700" s="339" t="s">
        <v>126</v>
      </c>
      <c r="H700" s="29"/>
      <c r="I700" s="9">
        <v>1</v>
      </c>
      <c r="J700" s="9">
        <v>1</v>
      </c>
      <c r="K700" s="9">
        <v>1</v>
      </c>
      <c r="L700" s="9">
        <v>2</v>
      </c>
      <c r="M700" s="9">
        <v>2</v>
      </c>
      <c r="N700" s="185" t="str">
        <f t="shared" si="47"/>
        <v/>
      </c>
      <c r="O700" s="159">
        <f t="shared" si="48"/>
        <v>0.35859414261160716</v>
      </c>
      <c r="P700" s="63"/>
    </row>
    <row r="701" spans="1:16" hidden="1">
      <c r="A701" s="151" t="s">
        <v>209</v>
      </c>
      <c r="B701" s="34" t="s">
        <v>384</v>
      </c>
      <c r="C701" s="40" t="s">
        <v>139</v>
      </c>
      <c r="D701" s="34" t="s">
        <v>139</v>
      </c>
      <c r="E701" s="257" t="s">
        <v>150</v>
      </c>
      <c r="F701" s="232">
        <v>1</v>
      </c>
      <c r="G701" s="40"/>
      <c r="H701" s="29"/>
      <c r="I701" s="9"/>
      <c r="J701" s="9"/>
      <c r="K701" s="9"/>
      <c r="L701" s="9"/>
      <c r="M701" s="9"/>
      <c r="N701" s="185" t="str">
        <f t="shared" si="47"/>
        <v/>
      </c>
      <c r="O701" s="159" t="str">
        <f t="shared" si="48"/>
        <v/>
      </c>
      <c r="P701" s="63"/>
    </row>
    <row r="702" spans="1:16" hidden="1">
      <c r="A702" s="151" t="s">
        <v>215</v>
      </c>
      <c r="B702" s="34" t="s">
        <v>385</v>
      </c>
      <c r="C702" s="40" t="s">
        <v>139</v>
      </c>
      <c r="D702" s="34" t="s">
        <v>139</v>
      </c>
      <c r="E702" s="257" t="s">
        <v>150</v>
      </c>
      <c r="F702" s="232">
        <v>1</v>
      </c>
      <c r="G702" s="40"/>
      <c r="H702" s="29"/>
      <c r="I702" s="9"/>
      <c r="J702" s="9"/>
      <c r="K702" s="9"/>
      <c r="L702" s="9"/>
      <c r="M702" s="9"/>
      <c r="N702" s="185" t="str">
        <f t="shared" si="47"/>
        <v/>
      </c>
      <c r="O702" s="159" t="str">
        <f t="shared" si="48"/>
        <v/>
      </c>
      <c r="P702" s="63" t="s">
        <v>386</v>
      </c>
    </row>
    <row r="703" spans="1:16" hidden="1">
      <c r="A703" s="151" t="s">
        <v>149</v>
      </c>
      <c r="B703" s="34" t="s">
        <v>176</v>
      </c>
      <c r="C703" s="40" t="s">
        <v>139</v>
      </c>
      <c r="D703" s="34" t="s">
        <v>139</v>
      </c>
      <c r="E703" s="257">
        <v>0.03</v>
      </c>
      <c r="F703" s="232">
        <v>2</v>
      </c>
      <c r="G703" s="40" t="s">
        <v>221</v>
      </c>
      <c r="H703" s="29">
        <v>1</v>
      </c>
      <c r="I703" s="9"/>
      <c r="J703" s="9">
        <v>2</v>
      </c>
      <c r="K703" s="9">
        <v>3</v>
      </c>
      <c r="L703" s="9">
        <v>2</v>
      </c>
      <c r="M703" s="9">
        <v>2</v>
      </c>
      <c r="N703" s="185">
        <f t="shared" si="47"/>
        <v>0.50042652380814845</v>
      </c>
      <c r="O703" s="159" t="str">
        <f t="shared" si="48"/>
        <v/>
      </c>
      <c r="P703" s="63" t="s">
        <v>387</v>
      </c>
    </row>
    <row r="704" spans="1:16" hidden="1">
      <c r="A704" s="853" t="s">
        <v>333</v>
      </c>
      <c r="B704" s="854" t="s">
        <v>184</v>
      </c>
      <c r="C704" s="855" t="s">
        <v>182</v>
      </c>
      <c r="D704" s="854" t="s">
        <v>139</v>
      </c>
      <c r="E704" s="856">
        <v>0</v>
      </c>
      <c r="F704" s="857">
        <v>2</v>
      </c>
      <c r="G704" s="855" t="s">
        <v>319</v>
      </c>
      <c r="H704" s="821"/>
      <c r="I704" s="639"/>
      <c r="J704" s="639"/>
      <c r="K704" s="639"/>
      <c r="L704" s="639"/>
      <c r="M704" s="639"/>
      <c r="N704" s="830" t="str">
        <f t="shared" si="47"/>
        <v/>
      </c>
      <c r="O704" s="831" t="str">
        <f t="shared" si="48"/>
        <v/>
      </c>
      <c r="P704" s="838"/>
    </row>
    <row r="705" spans="1:16" hidden="1">
      <c r="A705" s="151" t="s">
        <v>325</v>
      </c>
      <c r="B705" s="34" t="s">
        <v>264</v>
      </c>
      <c r="C705" s="40" t="s">
        <v>139</v>
      </c>
      <c r="D705" s="34" t="s">
        <v>139</v>
      </c>
      <c r="E705" s="257">
        <v>0.01</v>
      </c>
      <c r="F705" s="232">
        <v>2</v>
      </c>
      <c r="G705" s="40" t="s">
        <v>388</v>
      </c>
      <c r="H705" s="29">
        <v>3</v>
      </c>
      <c r="I705" s="9"/>
      <c r="J705" s="9">
        <v>3</v>
      </c>
      <c r="K705" s="9">
        <v>3</v>
      </c>
      <c r="L705" s="9">
        <v>3</v>
      </c>
      <c r="M705" s="9">
        <v>3</v>
      </c>
      <c r="N705" s="185">
        <f t="shared" si="47"/>
        <v>1.2132328390150593</v>
      </c>
      <c r="O705" s="159" t="str">
        <f t="shared" si="48"/>
        <v/>
      </c>
      <c r="P705" s="63"/>
    </row>
    <row r="706" spans="1:16" hidden="1">
      <c r="A706" s="151" t="s">
        <v>244</v>
      </c>
      <c r="B706" s="34" t="s">
        <v>176</v>
      </c>
      <c r="C706" s="40" t="s">
        <v>139</v>
      </c>
      <c r="D706" s="34" t="s">
        <v>139</v>
      </c>
      <c r="E706" s="257">
        <v>1E-4</v>
      </c>
      <c r="F706" s="232">
        <v>2</v>
      </c>
      <c r="G706" s="40" t="s">
        <v>157</v>
      </c>
      <c r="H706" s="29">
        <v>1</v>
      </c>
      <c r="I706" s="9">
        <v>2</v>
      </c>
      <c r="J706" s="9">
        <v>1</v>
      </c>
      <c r="K706" s="9">
        <v>1</v>
      </c>
      <c r="L706" s="9">
        <v>1</v>
      </c>
      <c r="M706" s="9">
        <v>3</v>
      </c>
      <c r="N706" s="185">
        <f t="shared" si="47"/>
        <v>1.0141150152164344</v>
      </c>
      <c r="O706" s="159">
        <f t="shared" si="48"/>
        <v>1.0195048044558224</v>
      </c>
      <c r="P706" s="63"/>
    </row>
    <row r="707" spans="1:16" hidden="1">
      <c r="A707" s="853" t="s">
        <v>333</v>
      </c>
      <c r="B707" s="854" t="s">
        <v>184</v>
      </c>
      <c r="C707" s="855" t="s">
        <v>182</v>
      </c>
      <c r="D707" s="854" t="s">
        <v>139</v>
      </c>
      <c r="E707" s="856">
        <v>1</v>
      </c>
      <c r="F707" s="857">
        <v>2</v>
      </c>
      <c r="G707" s="855" t="s">
        <v>320</v>
      </c>
      <c r="H707" s="821"/>
      <c r="I707" s="639"/>
      <c r="J707" s="639"/>
      <c r="K707" s="639"/>
      <c r="L707" s="639"/>
      <c r="M707" s="639"/>
      <c r="N707" s="830" t="str">
        <f t="shared" si="47"/>
        <v/>
      </c>
      <c r="O707" s="831" t="str">
        <f t="shared" si="48"/>
        <v/>
      </c>
      <c r="P707" s="838"/>
    </row>
    <row r="708" spans="1:16" hidden="1">
      <c r="A708" s="151" t="s">
        <v>121</v>
      </c>
      <c r="B708" s="34" t="s">
        <v>185</v>
      </c>
      <c r="C708" s="40" t="s">
        <v>139</v>
      </c>
      <c r="D708" s="34" t="s">
        <v>87</v>
      </c>
      <c r="E708" s="257">
        <v>0.11189388147015418</v>
      </c>
      <c r="F708" s="232">
        <v>1</v>
      </c>
      <c r="G708" s="40"/>
      <c r="H708" s="29">
        <v>2</v>
      </c>
      <c r="I708" s="9">
        <v>2</v>
      </c>
      <c r="J708" s="9">
        <v>2</v>
      </c>
      <c r="K708" s="9">
        <v>2</v>
      </c>
      <c r="L708" s="9">
        <v>1</v>
      </c>
      <c r="M708" s="9">
        <v>2</v>
      </c>
      <c r="N708" s="185">
        <f t="shared" si="47"/>
        <v>0.38795788889711302</v>
      </c>
      <c r="O708" s="159">
        <f t="shared" si="48"/>
        <v>0.38795788889711302</v>
      </c>
      <c r="P708" s="63"/>
    </row>
    <row r="709" spans="1:16" hidden="1">
      <c r="A709" s="853" t="s">
        <v>333</v>
      </c>
      <c r="B709" s="854" t="s">
        <v>184</v>
      </c>
      <c r="C709" s="855" t="s">
        <v>180</v>
      </c>
      <c r="D709" s="854" t="s">
        <v>139</v>
      </c>
      <c r="E709" s="856">
        <v>0</v>
      </c>
      <c r="F709" s="857">
        <v>2</v>
      </c>
      <c r="G709" s="855" t="s">
        <v>389</v>
      </c>
      <c r="H709" s="821"/>
      <c r="I709" s="639"/>
      <c r="J709" s="639"/>
      <c r="K709" s="639"/>
      <c r="L709" s="639"/>
      <c r="M709" s="639"/>
      <c r="N709" s="830" t="str">
        <f t="shared" si="47"/>
        <v/>
      </c>
      <c r="O709" s="831" t="str">
        <f t="shared" si="48"/>
        <v/>
      </c>
      <c r="P709" s="838"/>
    </row>
    <row r="710" spans="1:16" hidden="1">
      <c r="A710" s="151" t="s">
        <v>333</v>
      </c>
      <c r="B710" s="34" t="s">
        <v>251</v>
      </c>
      <c r="C710" s="40" t="s">
        <v>139</v>
      </c>
      <c r="D710" s="34" t="s">
        <v>139</v>
      </c>
      <c r="E710" s="257">
        <v>1E-4</v>
      </c>
      <c r="F710" s="232">
        <v>3</v>
      </c>
      <c r="G710" s="40" t="s">
        <v>332</v>
      </c>
      <c r="H710" s="29">
        <v>2</v>
      </c>
      <c r="I710" s="9">
        <v>2</v>
      </c>
      <c r="J710" s="9">
        <v>1</v>
      </c>
      <c r="K710" s="9">
        <v>1</v>
      </c>
      <c r="L710" s="9">
        <v>1</v>
      </c>
      <c r="M710" s="9">
        <v>3</v>
      </c>
      <c r="N710" s="185">
        <f t="shared" si="47"/>
        <v>1.0195048044558224</v>
      </c>
      <c r="O710" s="159">
        <f t="shared" si="48"/>
        <v>1.0195048044558224</v>
      </c>
      <c r="P710" s="63" t="s">
        <v>390</v>
      </c>
    </row>
    <row r="711" spans="1:16" hidden="1">
      <c r="A711" s="151" t="s">
        <v>154</v>
      </c>
      <c r="B711" s="34" t="s">
        <v>251</v>
      </c>
      <c r="C711" s="40" t="s">
        <v>139</v>
      </c>
      <c r="D711" s="34" t="s">
        <v>139</v>
      </c>
      <c r="E711" s="257">
        <v>0.03</v>
      </c>
      <c r="F711" s="232">
        <v>2</v>
      </c>
      <c r="G711" s="40" t="s">
        <v>221</v>
      </c>
      <c r="H711" s="29">
        <v>1</v>
      </c>
      <c r="I711" s="9"/>
      <c r="J711" s="9">
        <v>2</v>
      </c>
      <c r="K711" s="9">
        <v>3</v>
      </c>
      <c r="L711" s="9">
        <v>2</v>
      </c>
      <c r="M711" s="9">
        <v>2</v>
      </c>
      <c r="N711" s="185">
        <f t="shared" si="47"/>
        <v>0.50042652380814845</v>
      </c>
      <c r="O711" s="159" t="str">
        <f t="shared" si="48"/>
        <v/>
      </c>
      <c r="P711" s="63" t="s">
        <v>387</v>
      </c>
    </row>
    <row r="712" spans="1:16" hidden="1">
      <c r="A712" s="151" t="s">
        <v>256</v>
      </c>
      <c r="B712" s="34" t="s">
        <v>267</v>
      </c>
      <c r="C712" s="40" t="s">
        <v>182</v>
      </c>
      <c r="D712" s="69" t="s">
        <v>86</v>
      </c>
      <c r="E712" s="848">
        <v>0.1689198415949747</v>
      </c>
      <c r="F712" s="34">
        <v>1</v>
      </c>
      <c r="G712" s="339" t="s">
        <v>126</v>
      </c>
      <c r="H712" s="29"/>
      <c r="I712" s="9">
        <v>1</v>
      </c>
      <c r="J712" s="9">
        <v>1</v>
      </c>
      <c r="K712" s="9">
        <v>1</v>
      </c>
      <c r="L712" s="9">
        <v>2</v>
      </c>
      <c r="M712" s="9">
        <v>2</v>
      </c>
      <c r="N712" s="185" t="str">
        <f t="shared" si="47"/>
        <v/>
      </c>
      <c r="O712" s="159">
        <f t="shared" si="48"/>
        <v>0.35859414261160716</v>
      </c>
      <c r="P712" s="63"/>
    </row>
    <row r="713" spans="1:16" hidden="1">
      <c r="A713" s="151" t="s">
        <v>311</v>
      </c>
      <c r="B713" s="34" t="s">
        <v>251</v>
      </c>
      <c r="C713" s="515" t="s">
        <v>139</v>
      </c>
      <c r="D713" s="37" t="s">
        <v>139</v>
      </c>
      <c r="E713" s="308">
        <v>0.52</v>
      </c>
      <c r="F713" s="37">
        <v>1</v>
      </c>
      <c r="G713" s="40" t="s">
        <v>352</v>
      </c>
      <c r="H713" s="29">
        <v>2</v>
      </c>
      <c r="I713" s="9">
        <v>2</v>
      </c>
      <c r="J713" s="9">
        <v>1</v>
      </c>
      <c r="K713" s="9">
        <v>1</v>
      </c>
      <c r="L713" s="9">
        <v>1</v>
      </c>
      <c r="M713" s="9">
        <v>1</v>
      </c>
      <c r="N713" s="185">
        <f t="shared" si="47"/>
        <v>0.16933510251023262</v>
      </c>
      <c r="O713" s="159">
        <f t="shared" si="48"/>
        <v>0.16933510251023262</v>
      </c>
      <c r="P713" s="63"/>
    </row>
    <row r="714" spans="1:16" hidden="1">
      <c r="A714" s="151" t="s">
        <v>283</v>
      </c>
      <c r="B714" s="34" t="s">
        <v>254</v>
      </c>
      <c r="C714" s="40" t="s">
        <v>139</v>
      </c>
      <c r="D714" s="34" t="s">
        <v>139</v>
      </c>
      <c r="E714" s="848">
        <f>0.004*0.0001/100</f>
        <v>4.0000000000000002E-9</v>
      </c>
      <c r="F714" s="232">
        <v>2</v>
      </c>
      <c r="G714" s="515" t="s">
        <v>1991</v>
      </c>
      <c r="H714" s="29">
        <v>2</v>
      </c>
      <c r="I714" s="9">
        <v>1</v>
      </c>
      <c r="J714" s="9">
        <v>2</v>
      </c>
      <c r="K714" s="9">
        <v>3</v>
      </c>
      <c r="L714" s="9">
        <v>3</v>
      </c>
      <c r="M714" s="9">
        <v>1</v>
      </c>
      <c r="N714" s="185">
        <f t="shared" si="47"/>
        <v>0.51126068492676302</v>
      </c>
      <c r="O714" s="159">
        <f t="shared" si="48"/>
        <v>0.50042652380814845</v>
      </c>
      <c r="P714" s="63"/>
    </row>
    <row r="715" spans="1:16" hidden="1">
      <c r="A715" s="151" t="s">
        <v>283</v>
      </c>
      <c r="B715" s="34" t="s">
        <v>254</v>
      </c>
      <c r="C715" s="40" t="s">
        <v>139</v>
      </c>
      <c r="D715" s="34" t="s">
        <v>139</v>
      </c>
      <c r="E715" s="848">
        <f>0.004*0.04/100</f>
        <v>1.6000000000000001E-6</v>
      </c>
      <c r="F715" s="232">
        <v>2</v>
      </c>
      <c r="G715" s="515" t="s">
        <v>1991</v>
      </c>
      <c r="H715" s="29">
        <v>2</v>
      </c>
      <c r="I715" s="9">
        <v>1</v>
      </c>
      <c r="J715" s="9">
        <v>2</v>
      </c>
      <c r="K715" s="9">
        <v>3</v>
      </c>
      <c r="L715" s="9">
        <v>3</v>
      </c>
      <c r="M715" s="9">
        <v>1</v>
      </c>
      <c r="N715" s="185">
        <f t="shared" si="47"/>
        <v>0.51126068492676302</v>
      </c>
      <c r="O715" s="159">
        <f t="shared" si="48"/>
        <v>0.50042652380814845</v>
      </c>
      <c r="P715" s="63"/>
    </row>
    <row r="716" spans="1:16" hidden="1">
      <c r="A716" s="151" t="s">
        <v>256</v>
      </c>
      <c r="B716" s="34" t="s">
        <v>267</v>
      </c>
      <c r="C716" s="40" t="s">
        <v>182</v>
      </c>
      <c r="D716" s="69" t="s">
        <v>87</v>
      </c>
      <c r="E716" s="848">
        <v>9.9585062240663894E-2</v>
      </c>
      <c r="F716" s="34">
        <v>1</v>
      </c>
      <c r="G716" s="339" t="s">
        <v>126</v>
      </c>
      <c r="H716" s="29"/>
      <c r="I716" s="9">
        <v>1</v>
      </c>
      <c r="J716" s="9">
        <v>1</v>
      </c>
      <c r="K716" s="9">
        <v>1</v>
      </c>
      <c r="L716" s="9">
        <v>2</v>
      </c>
      <c r="M716" s="9">
        <v>2</v>
      </c>
      <c r="N716" s="185" t="str">
        <f t="shared" si="47"/>
        <v/>
      </c>
      <c r="O716" s="159">
        <f t="shared" si="48"/>
        <v>0.35859414261160716</v>
      </c>
      <c r="P716" s="63"/>
    </row>
    <row r="717" spans="1:16" hidden="1">
      <c r="A717" s="151" t="s">
        <v>283</v>
      </c>
      <c r="B717" s="34" t="s">
        <v>184</v>
      </c>
      <c r="C717" s="40" t="s">
        <v>139</v>
      </c>
      <c r="D717" s="34" t="s">
        <v>139</v>
      </c>
      <c r="E717" s="257">
        <v>0</v>
      </c>
      <c r="F717" s="232">
        <v>1</v>
      </c>
      <c r="G717" s="40" t="s">
        <v>157</v>
      </c>
      <c r="H717" s="29"/>
      <c r="I717" s="9"/>
      <c r="J717" s="9"/>
      <c r="K717" s="9"/>
      <c r="L717" s="9"/>
      <c r="M717" s="9"/>
      <c r="N717" s="185" t="str">
        <f t="shared" si="47"/>
        <v/>
      </c>
      <c r="O717" s="159" t="str">
        <f t="shared" si="48"/>
        <v/>
      </c>
      <c r="P717" s="63"/>
    </row>
    <row r="718" spans="1:16" hidden="1">
      <c r="A718" s="151" t="s">
        <v>283</v>
      </c>
      <c r="B718" s="34" t="s">
        <v>251</v>
      </c>
      <c r="C718" s="40" t="s">
        <v>139</v>
      </c>
      <c r="D718" s="34" t="s">
        <v>139</v>
      </c>
      <c r="E718" s="848">
        <f>(1-0.004)*0.0001/100</f>
        <v>9.9600000000000008E-7</v>
      </c>
      <c r="F718" s="232">
        <v>2</v>
      </c>
      <c r="G718" s="515" t="s">
        <v>1991</v>
      </c>
      <c r="H718" s="29">
        <v>2</v>
      </c>
      <c r="I718" s="9">
        <v>1</v>
      </c>
      <c r="J718" s="9">
        <v>2</v>
      </c>
      <c r="K718" s="9">
        <v>3</v>
      </c>
      <c r="L718" s="9">
        <v>3</v>
      </c>
      <c r="M718" s="9">
        <v>1</v>
      </c>
      <c r="N718" s="185">
        <f t="shared" ref="N718:N769" si="49">IF( OR( ISBLANK(H718),ISBLANK(J718), ISBLANK(K718), ISBLANK(L718), ISBLANK(M718) ), "", 1.5*SQRT(   EXP(2.21*(H718-1)) + EXP(2.21*(J718-1)) + EXP(2.21*(K718-1)) + EXP(2.21*(L718-1)) + EXP(2.21*M718)   )/100*2.45 )</f>
        <v>0.51126068492676302</v>
      </c>
      <c r="O718" s="159">
        <f t="shared" ref="O718:O769" si="50">IF( OR( ISBLANK(I718),ISBLANK(J718), ISBLANK(K718), ISBLANK(L718), ISBLANK(M718) ), "", 1.5*SQRT( EXP(2.21*(I718-1)) + EXP(2.21*(J718-1)) + EXP(2.21*(K718-1)) + EXP(2.21*(L718-1)) + EXP(2.21*M718)   )/100*2.45 )</f>
        <v>0.50042652380814845</v>
      </c>
      <c r="P718" s="63"/>
    </row>
    <row r="719" spans="1:16" hidden="1">
      <c r="A719" s="289" t="s">
        <v>359</v>
      </c>
      <c r="B719" s="55" t="s">
        <v>251</v>
      </c>
      <c r="C719" s="262" t="s">
        <v>139</v>
      </c>
      <c r="D719" s="55" t="s">
        <v>139</v>
      </c>
      <c r="E719" s="257">
        <v>0.24038461538461536</v>
      </c>
      <c r="F719" s="232">
        <v>2</v>
      </c>
      <c r="G719" s="262" t="s">
        <v>163</v>
      </c>
      <c r="H719" s="29">
        <v>2</v>
      </c>
      <c r="I719" s="9">
        <v>2</v>
      </c>
      <c r="J719" s="9">
        <v>1</v>
      </c>
      <c r="K719" s="9">
        <v>1</v>
      </c>
      <c r="L719" s="9">
        <v>1</v>
      </c>
      <c r="M719" s="9">
        <v>3</v>
      </c>
      <c r="N719" s="185">
        <f t="shared" si="49"/>
        <v>1.0195048044558224</v>
      </c>
      <c r="O719" s="159">
        <f t="shared" si="50"/>
        <v>1.0195048044558224</v>
      </c>
      <c r="P719" s="63" t="s">
        <v>356</v>
      </c>
    </row>
    <row r="720" spans="1:16" hidden="1">
      <c r="A720" s="289" t="s">
        <v>359</v>
      </c>
      <c r="B720" s="55" t="s">
        <v>251</v>
      </c>
      <c r="C720" s="262" t="s">
        <v>139</v>
      </c>
      <c r="D720" s="55" t="s">
        <v>139</v>
      </c>
      <c r="E720" s="257">
        <v>0.13440860215053765</v>
      </c>
      <c r="F720" s="232">
        <v>2</v>
      </c>
      <c r="G720" s="262" t="s">
        <v>163</v>
      </c>
      <c r="H720" s="29">
        <v>2</v>
      </c>
      <c r="I720" s="9">
        <v>2</v>
      </c>
      <c r="J720" s="9">
        <v>1</v>
      </c>
      <c r="K720" s="9">
        <v>1</v>
      </c>
      <c r="L720" s="9">
        <v>1</v>
      </c>
      <c r="M720" s="9">
        <v>3</v>
      </c>
      <c r="N720" s="185">
        <f t="shared" si="49"/>
        <v>1.0195048044558224</v>
      </c>
      <c r="O720" s="159">
        <f t="shared" si="50"/>
        <v>1.0195048044558224</v>
      </c>
      <c r="P720" s="63" t="s">
        <v>357</v>
      </c>
    </row>
    <row r="721" spans="1:16" hidden="1">
      <c r="A721" s="151" t="s">
        <v>379</v>
      </c>
      <c r="B721" s="34" t="s">
        <v>377</v>
      </c>
      <c r="C721" s="40" t="s">
        <v>139</v>
      </c>
      <c r="D721" s="34" t="s">
        <v>139</v>
      </c>
      <c r="E721" s="851">
        <v>0.9</v>
      </c>
      <c r="F721" s="34">
        <v>1</v>
      </c>
      <c r="G721" s="40" t="s">
        <v>391</v>
      </c>
      <c r="H721" s="29">
        <v>1</v>
      </c>
      <c r="I721" s="9">
        <v>3</v>
      </c>
      <c r="J721" s="9">
        <v>2</v>
      </c>
      <c r="K721" s="9">
        <v>1</v>
      </c>
      <c r="L721" s="9">
        <v>1</v>
      </c>
      <c r="M721" s="9">
        <v>2</v>
      </c>
      <c r="N721" s="185">
        <f t="shared" si="49"/>
        <v>0.35859414261160716</v>
      </c>
      <c r="O721" s="159">
        <f t="shared" si="50"/>
        <v>0.48935255543384243</v>
      </c>
      <c r="P721" s="838"/>
    </row>
    <row r="722" spans="1:16" hidden="1">
      <c r="A722" s="151" t="s">
        <v>379</v>
      </c>
      <c r="B722" s="34" t="s">
        <v>258</v>
      </c>
      <c r="C722" s="40" t="s">
        <v>139</v>
      </c>
      <c r="D722" s="34" t="s">
        <v>139</v>
      </c>
      <c r="E722" s="851">
        <v>0.1</v>
      </c>
      <c r="F722" s="34">
        <v>1</v>
      </c>
      <c r="G722" s="40" t="s">
        <v>378</v>
      </c>
      <c r="H722" s="29">
        <v>1</v>
      </c>
      <c r="I722" s="9">
        <v>3</v>
      </c>
      <c r="J722" s="9">
        <v>2</v>
      </c>
      <c r="K722" s="9">
        <v>1</v>
      </c>
      <c r="L722" s="9">
        <v>1</v>
      </c>
      <c r="M722" s="9">
        <v>2</v>
      </c>
      <c r="N722" s="185">
        <f t="shared" si="49"/>
        <v>0.35859414261160716</v>
      </c>
      <c r="O722" s="159">
        <f t="shared" si="50"/>
        <v>0.48935255543384243</v>
      </c>
      <c r="P722" s="838"/>
    </row>
    <row r="723" spans="1:16" hidden="1">
      <c r="A723" s="151" t="s">
        <v>300</v>
      </c>
      <c r="B723" s="34" t="s">
        <v>179</v>
      </c>
      <c r="C723" s="40" t="s">
        <v>139</v>
      </c>
      <c r="D723" s="34" t="s">
        <v>139</v>
      </c>
      <c r="E723" s="851" t="s">
        <v>150</v>
      </c>
      <c r="F723" s="34">
        <v>1</v>
      </c>
      <c r="G723" s="40" t="s">
        <v>301</v>
      </c>
      <c r="H723" s="29"/>
      <c r="I723" s="9"/>
      <c r="J723" s="9"/>
      <c r="K723" s="9"/>
      <c r="L723" s="9"/>
      <c r="M723" s="9"/>
      <c r="N723" s="185" t="str">
        <f t="shared" si="49"/>
        <v/>
      </c>
      <c r="O723" s="159" t="str">
        <f t="shared" si="50"/>
        <v/>
      </c>
      <c r="P723" s="838"/>
    </row>
    <row r="724" spans="1:16" hidden="1">
      <c r="A724" s="151" t="s">
        <v>300</v>
      </c>
      <c r="B724" s="34" t="s">
        <v>232</v>
      </c>
      <c r="C724" s="40" t="s">
        <v>139</v>
      </c>
      <c r="D724" s="34" t="s">
        <v>139</v>
      </c>
      <c r="E724" s="851">
        <v>0.05</v>
      </c>
      <c r="F724" s="34">
        <v>2</v>
      </c>
      <c r="G724" s="40" t="s">
        <v>392</v>
      </c>
      <c r="H724" s="29">
        <v>1</v>
      </c>
      <c r="I724" s="9">
        <v>2</v>
      </c>
      <c r="J724" s="9">
        <v>1</v>
      </c>
      <c r="K724" s="9">
        <v>2</v>
      </c>
      <c r="L724" s="9">
        <v>2</v>
      </c>
      <c r="M724" s="9">
        <v>4</v>
      </c>
      <c r="N724" s="185">
        <f t="shared" si="49"/>
        <v>3.0582589715853041</v>
      </c>
      <c r="O724" s="159">
        <f t="shared" si="50"/>
        <v>3.0600504439474649</v>
      </c>
      <c r="P724" s="838"/>
    </row>
    <row r="725" spans="1:16" hidden="1">
      <c r="A725" s="151" t="s">
        <v>393</v>
      </c>
      <c r="B725" s="34" t="s">
        <v>377</v>
      </c>
      <c r="C725" s="40" t="s">
        <v>139</v>
      </c>
      <c r="D725" s="34" t="s">
        <v>139</v>
      </c>
      <c r="E725" s="262" t="s">
        <v>150</v>
      </c>
      <c r="F725" s="34">
        <v>1</v>
      </c>
      <c r="G725" s="40" t="s">
        <v>380</v>
      </c>
      <c r="H725" s="29">
        <v>1</v>
      </c>
      <c r="I725" s="9">
        <v>2</v>
      </c>
      <c r="J725" s="9">
        <v>3</v>
      </c>
      <c r="K725" s="9">
        <v>1</v>
      </c>
      <c r="L725" s="9">
        <v>2</v>
      </c>
      <c r="M725" s="9">
        <v>1</v>
      </c>
      <c r="N725" s="185">
        <f t="shared" si="49"/>
        <v>0.37356464144298934</v>
      </c>
      <c r="O725" s="159">
        <f t="shared" si="50"/>
        <v>0.38795788889711297</v>
      </c>
      <c r="P725" s="838"/>
    </row>
    <row r="726" spans="1:16" hidden="1">
      <c r="A726" s="151" t="s">
        <v>393</v>
      </c>
      <c r="B726" s="34" t="s">
        <v>266</v>
      </c>
      <c r="C726" s="40" t="s">
        <v>139</v>
      </c>
      <c r="D726" s="34" t="s">
        <v>139</v>
      </c>
      <c r="E726" s="262">
        <f>0.526*0.34</f>
        <v>0.17884000000000003</v>
      </c>
      <c r="F726" s="34">
        <v>2</v>
      </c>
      <c r="G726" s="40" t="s">
        <v>380</v>
      </c>
      <c r="H726" s="29">
        <v>1</v>
      </c>
      <c r="I726" s="9">
        <v>2</v>
      </c>
      <c r="J726" s="9">
        <v>3</v>
      </c>
      <c r="K726" s="9">
        <v>1</v>
      </c>
      <c r="L726" s="9">
        <v>2</v>
      </c>
      <c r="M726" s="9">
        <v>1</v>
      </c>
      <c r="N726" s="185">
        <f t="shared" si="49"/>
        <v>0.37356464144298934</v>
      </c>
      <c r="O726" s="159">
        <f t="shared" si="50"/>
        <v>0.38795788889711297</v>
      </c>
      <c r="P726" s="838"/>
    </row>
    <row r="727" spans="1:16" hidden="1">
      <c r="A727" s="151" t="s">
        <v>393</v>
      </c>
      <c r="B727" s="34" t="s">
        <v>258</v>
      </c>
      <c r="C727" s="40" t="s">
        <v>139</v>
      </c>
      <c r="D727" s="34" t="s">
        <v>139</v>
      </c>
      <c r="E727" s="262">
        <v>0.255</v>
      </c>
      <c r="F727" s="34">
        <v>2</v>
      </c>
      <c r="G727" s="40" t="s">
        <v>380</v>
      </c>
      <c r="H727" s="29">
        <v>1</v>
      </c>
      <c r="I727" s="9">
        <v>2</v>
      </c>
      <c r="J727" s="9">
        <v>3</v>
      </c>
      <c r="K727" s="9">
        <v>1</v>
      </c>
      <c r="L727" s="9">
        <v>2</v>
      </c>
      <c r="M727" s="9">
        <v>1</v>
      </c>
      <c r="N727" s="185">
        <f t="shared" si="49"/>
        <v>0.37356464144298934</v>
      </c>
      <c r="O727" s="159">
        <f t="shared" si="50"/>
        <v>0.38795788889711297</v>
      </c>
      <c r="P727" s="838"/>
    </row>
    <row r="728" spans="1:16" hidden="1">
      <c r="A728" s="151" t="s">
        <v>393</v>
      </c>
      <c r="B728" s="34" t="s">
        <v>232</v>
      </c>
      <c r="C728" s="40" t="s">
        <v>139</v>
      </c>
      <c r="D728" s="34" t="s">
        <v>139</v>
      </c>
      <c r="E728" s="262">
        <f>0.526*0.66</f>
        <v>0.34716000000000002</v>
      </c>
      <c r="F728" s="34">
        <v>2</v>
      </c>
      <c r="G728" s="40" t="s">
        <v>380</v>
      </c>
      <c r="H728" s="29">
        <v>1</v>
      </c>
      <c r="I728" s="9">
        <v>2</v>
      </c>
      <c r="J728" s="9">
        <v>3</v>
      </c>
      <c r="K728" s="9">
        <v>1</v>
      </c>
      <c r="L728" s="9">
        <v>2</v>
      </c>
      <c r="M728" s="9">
        <v>1</v>
      </c>
      <c r="N728" s="185">
        <f t="shared" si="49"/>
        <v>0.37356464144298934</v>
      </c>
      <c r="O728" s="159">
        <f t="shared" si="50"/>
        <v>0.38795788889711297</v>
      </c>
      <c r="P728" s="838"/>
    </row>
    <row r="729" spans="1:16" hidden="1">
      <c r="A729" s="151" t="s">
        <v>394</v>
      </c>
      <c r="B729" s="34" t="s">
        <v>300</v>
      </c>
      <c r="C729" s="40" t="s">
        <v>139</v>
      </c>
      <c r="D729" s="34" t="s">
        <v>139</v>
      </c>
      <c r="E729" s="262">
        <v>0.01</v>
      </c>
      <c r="F729" s="34">
        <v>2</v>
      </c>
      <c r="G729" s="40" t="s">
        <v>301</v>
      </c>
      <c r="H729" s="29">
        <v>2</v>
      </c>
      <c r="I729" s="9">
        <v>2</v>
      </c>
      <c r="J729" s="9">
        <v>2</v>
      </c>
      <c r="K729" s="9">
        <v>2</v>
      </c>
      <c r="L729" s="9">
        <v>1</v>
      </c>
      <c r="M729" s="9">
        <v>1</v>
      </c>
      <c r="N729" s="185">
        <f t="shared" si="49"/>
        <v>0.2249354160293616</v>
      </c>
      <c r="O729" s="159">
        <f t="shared" si="50"/>
        <v>0.2249354160293616</v>
      </c>
      <c r="P729" s="838"/>
    </row>
    <row r="730" spans="1:16" hidden="1">
      <c r="A730" s="151" t="s">
        <v>325</v>
      </c>
      <c r="B730" s="34" t="s">
        <v>265</v>
      </c>
      <c r="C730" s="40" t="s">
        <v>139</v>
      </c>
      <c r="D730" s="34" t="s">
        <v>139</v>
      </c>
      <c r="E730" s="257">
        <v>1.0200000000000001E-3</v>
      </c>
      <c r="F730" s="232">
        <v>2</v>
      </c>
      <c r="G730" s="40" t="s">
        <v>343</v>
      </c>
      <c r="H730" s="29">
        <v>2</v>
      </c>
      <c r="I730" s="9"/>
      <c r="J730" s="9">
        <v>3</v>
      </c>
      <c r="K730" s="9">
        <v>3</v>
      </c>
      <c r="L730" s="9">
        <v>3</v>
      </c>
      <c r="M730" s="9">
        <v>2</v>
      </c>
      <c r="N730" s="185">
        <f t="shared" si="49"/>
        <v>0.67913051197703389</v>
      </c>
      <c r="O730" s="159" t="str">
        <f t="shared" si="50"/>
        <v/>
      </c>
      <c r="P730" s="63" t="s">
        <v>344</v>
      </c>
    </row>
    <row r="731" spans="1:16" hidden="1">
      <c r="A731" s="151" t="s">
        <v>395</v>
      </c>
      <c r="B731" s="34" t="s">
        <v>269</v>
      </c>
      <c r="C731" s="40" t="s">
        <v>139</v>
      </c>
      <c r="D731" s="34" t="s">
        <v>139</v>
      </c>
      <c r="E731" s="851">
        <v>0.51183800000000002</v>
      </c>
      <c r="F731" s="34">
        <v>2</v>
      </c>
      <c r="G731" s="40" t="s">
        <v>396</v>
      </c>
      <c r="H731" s="29">
        <v>1</v>
      </c>
      <c r="I731" s="9">
        <v>1</v>
      </c>
      <c r="J731" s="9">
        <v>1</v>
      </c>
      <c r="K731" s="9">
        <v>1</v>
      </c>
      <c r="L731" s="9">
        <v>1</v>
      </c>
      <c r="M731" s="9">
        <v>1</v>
      </c>
      <c r="N731" s="185">
        <f t="shared" si="49"/>
        <v>0.13309242924026707</v>
      </c>
      <c r="O731" s="159">
        <f t="shared" si="50"/>
        <v>0.13309242924026707</v>
      </c>
      <c r="P731" s="838"/>
    </row>
    <row r="732" spans="1:16" hidden="1">
      <c r="A732" s="151" t="s">
        <v>395</v>
      </c>
      <c r="B732" s="34" t="s">
        <v>394</v>
      </c>
      <c r="C732" s="40" t="s">
        <v>139</v>
      </c>
      <c r="D732" s="34" t="s">
        <v>139</v>
      </c>
      <c r="E732" s="851">
        <v>0.23042099999999999</v>
      </c>
      <c r="F732" s="34">
        <v>1</v>
      </c>
      <c r="G732" s="40" t="s">
        <v>396</v>
      </c>
      <c r="H732" s="29">
        <v>1</v>
      </c>
      <c r="I732" s="9">
        <v>1</v>
      </c>
      <c r="J732" s="9">
        <v>1</v>
      </c>
      <c r="K732" s="9">
        <v>1</v>
      </c>
      <c r="L732" s="9">
        <v>1</v>
      </c>
      <c r="M732" s="9">
        <v>1</v>
      </c>
      <c r="N732" s="185">
        <f t="shared" si="49"/>
        <v>0.13309242924026707</v>
      </c>
      <c r="O732" s="159">
        <f t="shared" si="50"/>
        <v>0.13309242924026707</v>
      </c>
      <c r="P732" s="838"/>
    </row>
    <row r="733" spans="1:16" hidden="1">
      <c r="A733" s="151" t="s">
        <v>394</v>
      </c>
      <c r="B733" s="34" t="s">
        <v>300</v>
      </c>
      <c r="C733" s="40" t="s">
        <v>139</v>
      </c>
      <c r="D733" s="34" t="s">
        <v>139</v>
      </c>
      <c r="E733" s="262">
        <v>0.02</v>
      </c>
      <c r="F733" s="34">
        <v>2</v>
      </c>
      <c r="G733" s="40" t="s">
        <v>301</v>
      </c>
      <c r="H733" s="29">
        <v>2</v>
      </c>
      <c r="I733" s="9">
        <v>2</v>
      </c>
      <c r="J733" s="9">
        <v>2</v>
      </c>
      <c r="K733" s="9">
        <v>2</v>
      </c>
      <c r="L733" s="9">
        <v>1</v>
      </c>
      <c r="M733" s="9">
        <v>1</v>
      </c>
      <c r="N733" s="185">
        <f t="shared" si="49"/>
        <v>0.2249354160293616</v>
      </c>
      <c r="O733" s="159">
        <f t="shared" si="50"/>
        <v>0.2249354160293616</v>
      </c>
      <c r="P733" s="838"/>
    </row>
    <row r="734" spans="1:16" hidden="1">
      <c r="A734" s="151" t="s">
        <v>395</v>
      </c>
      <c r="B734" s="34" t="s">
        <v>397</v>
      </c>
      <c r="C734" s="40" t="s">
        <v>139</v>
      </c>
      <c r="D734" s="34" t="s">
        <v>139</v>
      </c>
      <c r="E734" s="851">
        <v>0.257741</v>
      </c>
      <c r="F734" s="34">
        <v>2</v>
      </c>
      <c r="G734" s="40" t="s">
        <v>396</v>
      </c>
      <c r="H734" s="29">
        <v>1</v>
      </c>
      <c r="I734" s="9">
        <v>1</v>
      </c>
      <c r="J734" s="9">
        <v>1</v>
      </c>
      <c r="K734" s="9">
        <v>1</v>
      </c>
      <c r="L734" s="9">
        <v>1</v>
      </c>
      <c r="M734" s="9">
        <v>1</v>
      </c>
      <c r="N734" s="185">
        <f t="shared" si="49"/>
        <v>0.13309242924026707</v>
      </c>
      <c r="O734" s="159">
        <f t="shared" si="50"/>
        <v>0.13309242924026707</v>
      </c>
      <c r="P734" s="838"/>
    </row>
    <row r="735" spans="1:16" hidden="1">
      <c r="A735" s="151" t="s">
        <v>394</v>
      </c>
      <c r="B735" s="34" t="s">
        <v>231</v>
      </c>
      <c r="C735" s="40" t="s">
        <v>139</v>
      </c>
      <c r="D735" s="34" t="s">
        <v>139</v>
      </c>
      <c r="E735" s="262">
        <v>0.05</v>
      </c>
      <c r="F735" s="34">
        <v>2</v>
      </c>
      <c r="G735" s="40" t="s">
        <v>276</v>
      </c>
      <c r="H735" s="29">
        <v>1</v>
      </c>
      <c r="I735" s="9">
        <v>2</v>
      </c>
      <c r="J735" s="9">
        <v>1</v>
      </c>
      <c r="K735" s="9">
        <v>1</v>
      </c>
      <c r="L735" s="9">
        <v>2</v>
      </c>
      <c r="M735" s="9">
        <v>3</v>
      </c>
      <c r="N735" s="185">
        <f t="shared" si="49"/>
        <v>1.0195048044558224</v>
      </c>
      <c r="O735" s="159">
        <f t="shared" si="50"/>
        <v>1.0248662490928169</v>
      </c>
      <c r="P735" s="838"/>
    </row>
    <row r="736" spans="1:16" hidden="1">
      <c r="A736" s="151" t="s">
        <v>394</v>
      </c>
      <c r="B736" s="34" t="s">
        <v>231</v>
      </c>
      <c r="C736" s="40" t="s">
        <v>139</v>
      </c>
      <c r="D736" s="34" t="s">
        <v>139</v>
      </c>
      <c r="E736" s="262">
        <v>0.1</v>
      </c>
      <c r="F736" s="34">
        <v>2</v>
      </c>
      <c r="G736" s="852" t="s">
        <v>277</v>
      </c>
      <c r="H736" s="29">
        <v>1</v>
      </c>
      <c r="I736" s="9">
        <v>2</v>
      </c>
      <c r="J736" s="9">
        <v>2</v>
      </c>
      <c r="K736" s="9">
        <v>1</v>
      </c>
      <c r="L736" s="9">
        <v>2</v>
      </c>
      <c r="M736" s="9">
        <v>3</v>
      </c>
      <c r="N736" s="185">
        <f t="shared" si="49"/>
        <v>1.0248662490928169</v>
      </c>
      <c r="O736" s="159">
        <f t="shared" si="50"/>
        <v>1.0301997916669636</v>
      </c>
      <c r="P736" s="838"/>
    </row>
    <row r="737" spans="1:16" hidden="1">
      <c r="A737" s="151" t="s">
        <v>121</v>
      </c>
      <c r="B737" s="34" t="s">
        <v>185</v>
      </c>
      <c r="C737" s="40" t="s">
        <v>139</v>
      </c>
      <c r="D737" s="34" t="s">
        <v>88</v>
      </c>
      <c r="E737" s="257">
        <v>0</v>
      </c>
      <c r="F737" s="232">
        <v>1</v>
      </c>
      <c r="G737" s="40"/>
      <c r="H737" s="29"/>
      <c r="I737" s="9"/>
      <c r="J737" s="9"/>
      <c r="K737" s="9"/>
      <c r="L737" s="9"/>
      <c r="M737" s="9"/>
      <c r="N737" s="185" t="str">
        <f t="shared" si="49"/>
        <v/>
      </c>
      <c r="O737" s="159" t="str">
        <f t="shared" si="50"/>
        <v/>
      </c>
      <c r="P737" s="63"/>
    </row>
    <row r="738" spans="1:16" hidden="1">
      <c r="A738" s="151" t="s">
        <v>121</v>
      </c>
      <c r="B738" s="34" t="s">
        <v>185</v>
      </c>
      <c r="C738" s="40" t="s">
        <v>139</v>
      </c>
      <c r="D738" s="34" t="s">
        <v>89</v>
      </c>
      <c r="E738" s="257">
        <v>0</v>
      </c>
      <c r="F738" s="232">
        <v>1</v>
      </c>
      <c r="G738" s="40"/>
      <c r="H738" s="29"/>
      <c r="I738" s="9"/>
      <c r="J738" s="9"/>
      <c r="K738" s="9"/>
      <c r="L738" s="9"/>
      <c r="M738" s="9"/>
      <c r="N738" s="185" t="str">
        <f t="shared" si="49"/>
        <v/>
      </c>
      <c r="O738" s="159" t="str">
        <f t="shared" si="50"/>
        <v/>
      </c>
      <c r="P738" s="63"/>
    </row>
    <row r="739" spans="1:16" hidden="1">
      <c r="A739" s="151" t="s">
        <v>121</v>
      </c>
      <c r="B739" s="34" t="s">
        <v>185</v>
      </c>
      <c r="C739" s="40" t="s">
        <v>139</v>
      </c>
      <c r="D739" s="34" t="s">
        <v>90</v>
      </c>
      <c r="E739" s="257">
        <v>0</v>
      </c>
      <c r="F739" s="232">
        <v>1</v>
      </c>
      <c r="G739" s="40"/>
      <c r="H739" s="29"/>
      <c r="I739" s="9"/>
      <c r="J739" s="9"/>
      <c r="K739" s="9"/>
      <c r="L739" s="9"/>
      <c r="M739" s="9"/>
      <c r="N739" s="185" t="str">
        <f t="shared" si="49"/>
        <v/>
      </c>
      <c r="O739" s="159" t="str">
        <f t="shared" si="50"/>
        <v/>
      </c>
      <c r="P739" s="63"/>
    </row>
    <row r="740" spans="1:16" hidden="1">
      <c r="A740" s="151" t="s">
        <v>121</v>
      </c>
      <c r="B740" s="34" t="s">
        <v>185</v>
      </c>
      <c r="C740" s="40" t="s">
        <v>139</v>
      </c>
      <c r="D740" s="34" t="s">
        <v>91</v>
      </c>
      <c r="E740" s="257">
        <v>6.387687825104362E-3</v>
      </c>
      <c r="F740" s="232">
        <v>1</v>
      </c>
      <c r="G740" s="40"/>
      <c r="H740" s="29">
        <v>2</v>
      </c>
      <c r="I740" s="9">
        <v>2</v>
      </c>
      <c r="J740" s="9">
        <v>2</v>
      </c>
      <c r="K740" s="9">
        <v>2</v>
      </c>
      <c r="L740" s="9">
        <v>1</v>
      </c>
      <c r="M740" s="9">
        <v>2</v>
      </c>
      <c r="N740" s="185">
        <f t="shared" si="49"/>
        <v>0.38795788889711302</v>
      </c>
      <c r="O740" s="159">
        <f t="shared" si="50"/>
        <v>0.38795788889711302</v>
      </c>
      <c r="P740" s="63"/>
    </row>
    <row r="741" spans="1:16" hidden="1">
      <c r="A741" s="151" t="s">
        <v>121</v>
      </c>
      <c r="B741" s="34" t="s">
        <v>185</v>
      </c>
      <c r="C741" s="40" t="s">
        <v>139</v>
      </c>
      <c r="D741" s="34" t="s">
        <v>95</v>
      </c>
      <c r="E741" s="257">
        <v>9.8377066062213417E-4</v>
      </c>
      <c r="F741" s="232">
        <v>1</v>
      </c>
      <c r="G741" s="40"/>
      <c r="H741" s="29">
        <v>2</v>
      </c>
      <c r="I741" s="9">
        <v>2</v>
      </c>
      <c r="J741" s="9">
        <v>2</v>
      </c>
      <c r="K741" s="9">
        <v>2</v>
      </c>
      <c r="L741" s="9">
        <v>1</v>
      </c>
      <c r="M741" s="9">
        <v>2</v>
      </c>
      <c r="N741" s="185">
        <f t="shared" si="49"/>
        <v>0.38795788889711302</v>
      </c>
      <c r="O741" s="159">
        <f t="shared" si="50"/>
        <v>0.38795788889711302</v>
      </c>
      <c r="P741" s="63"/>
    </row>
    <row r="742" spans="1:16" hidden="1">
      <c r="A742" s="151" t="s">
        <v>121</v>
      </c>
      <c r="B742" s="34" t="s">
        <v>185</v>
      </c>
      <c r="C742" s="40" t="s">
        <v>139</v>
      </c>
      <c r="D742" s="34" t="s">
        <v>99</v>
      </c>
      <c r="E742" s="257">
        <v>0</v>
      </c>
      <c r="F742" s="232">
        <v>1</v>
      </c>
      <c r="G742" s="40"/>
      <c r="H742" s="29"/>
      <c r="I742" s="9"/>
      <c r="J742" s="9"/>
      <c r="K742" s="9"/>
      <c r="L742" s="9"/>
      <c r="M742" s="9"/>
      <c r="N742" s="185" t="str">
        <f t="shared" si="49"/>
        <v/>
      </c>
      <c r="O742" s="159" t="str">
        <f t="shared" si="50"/>
        <v/>
      </c>
      <c r="P742" s="63"/>
    </row>
    <row r="743" spans="1:16" hidden="1">
      <c r="A743" s="151" t="s">
        <v>121</v>
      </c>
      <c r="B743" s="34" t="s">
        <v>345</v>
      </c>
      <c r="C743" s="40" t="s">
        <v>139</v>
      </c>
      <c r="D743" s="34" t="s">
        <v>85</v>
      </c>
      <c r="E743" s="257">
        <v>0</v>
      </c>
      <c r="F743" s="232">
        <v>1</v>
      </c>
      <c r="G743" s="40"/>
      <c r="H743" s="29"/>
      <c r="I743" s="9"/>
      <c r="J743" s="9"/>
      <c r="K743" s="9"/>
      <c r="L743" s="9"/>
      <c r="M743" s="9"/>
      <c r="N743" s="185" t="str">
        <f t="shared" si="49"/>
        <v/>
      </c>
      <c r="O743" s="159" t="str">
        <f t="shared" si="50"/>
        <v/>
      </c>
      <c r="P743" s="63"/>
    </row>
    <row r="744" spans="1:16" hidden="1">
      <c r="A744" s="151" t="s">
        <v>121</v>
      </c>
      <c r="B744" s="34" t="s">
        <v>345</v>
      </c>
      <c r="C744" s="40" t="s">
        <v>139</v>
      </c>
      <c r="D744" s="34" t="s">
        <v>86</v>
      </c>
      <c r="E744" s="257">
        <v>0</v>
      </c>
      <c r="F744" s="232">
        <v>1</v>
      </c>
      <c r="G744" s="40"/>
      <c r="H744" s="29"/>
      <c r="I744" s="9"/>
      <c r="J744" s="9"/>
      <c r="K744" s="9"/>
      <c r="L744" s="9"/>
      <c r="M744" s="9"/>
      <c r="N744" s="185" t="str">
        <f t="shared" si="49"/>
        <v/>
      </c>
      <c r="O744" s="159" t="str">
        <f t="shared" si="50"/>
        <v/>
      </c>
      <c r="P744" s="63"/>
    </row>
    <row r="745" spans="1:16" hidden="1">
      <c r="A745" s="151" t="s">
        <v>121</v>
      </c>
      <c r="B745" s="34" t="s">
        <v>345</v>
      </c>
      <c r="C745" s="40" t="s">
        <v>139</v>
      </c>
      <c r="D745" s="34" t="s">
        <v>87</v>
      </c>
      <c r="E745" s="257">
        <v>0.15197638649335868</v>
      </c>
      <c r="F745" s="232">
        <v>1</v>
      </c>
      <c r="G745" s="40"/>
      <c r="H745" s="29">
        <v>2</v>
      </c>
      <c r="I745" s="9">
        <v>2</v>
      </c>
      <c r="J745" s="9">
        <v>2</v>
      </c>
      <c r="K745" s="9">
        <v>2</v>
      </c>
      <c r="L745" s="9">
        <v>1</v>
      </c>
      <c r="M745" s="9">
        <v>2</v>
      </c>
      <c r="N745" s="185">
        <f t="shared" si="49"/>
        <v>0.38795788889711302</v>
      </c>
      <c r="O745" s="159">
        <f t="shared" si="50"/>
        <v>0.38795788889711302</v>
      </c>
      <c r="P745" s="63"/>
    </row>
    <row r="746" spans="1:16" hidden="1">
      <c r="A746" s="151" t="s">
        <v>256</v>
      </c>
      <c r="B746" s="34" t="s">
        <v>267</v>
      </c>
      <c r="C746" s="40" t="s">
        <v>182</v>
      </c>
      <c r="D746" s="69" t="s">
        <v>88</v>
      </c>
      <c r="E746" s="848">
        <v>0.16331787738279241</v>
      </c>
      <c r="F746" s="34">
        <v>1</v>
      </c>
      <c r="G746" s="339" t="s">
        <v>126</v>
      </c>
      <c r="H746" s="29"/>
      <c r="I746" s="9">
        <v>1</v>
      </c>
      <c r="J746" s="9">
        <v>1</v>
      </c>
      <c r="K746" s="9">
        <v>1</v>
      </c>
      <c r="L746" s="9">
        <v>2</v>
      </c>
      <c r="M746" s="9">
        <v>2</v>
      </c>
      <c r="N746" s="185" t="str">
        <f t="shared" si="49"/>
        <v/>
      </c>
      <c r="O746" s="159">
        <f t="shared" si="50"/>
        <v>0.35859414261160716</v>
      </c>
      <c r="P746" s="63"/>
    </row>
    <row r="747" spans="1:16" hidden="1">
      <c r="A747" s="151" t="s">
        <v>283</v>
      </c>
      <c r="B747" s="34" t="s">
        <v>251</v>
      </c>
      <c r="C747" s="40" t="s">
        <v>139</v>
      </c>
      <c r="D747" s="34" t="s">
        <v>139</v>
      </c>
      <c r="E747" s="848">
        <f>(1-0.004)*0.04/100</f>
        <v>3.9839999999999998E-4</v>
      </c>
      <c r="F747" s="232">
        <v>2</v>
      </c>
      <c r="G747" s="515" t="s">
        <v>1991</v>
      </c>
      <c r="H747" s="29">
        <v>2</v>
      </c>
      <c r="I747" s="9">
        <v>1</v>
      </c>
      <c r="J747" s="9">
        <v>2</v>
      </c>
      <c r="K747" s="9">
        <v>3</v>
      </c>
      <c r="L747" s="9">
        <v>3</v>
      </c>
      <c r="M747" s="9">
        <v>1</v>
      </c>
      <c r="N747" s="185">
        <f t="shared" si="49"/>
        <v>0.51126068492676302</v>
      </c>
      <c r="O747" s="159">
        <f t="shared" si="50"/>
        <v>0.50042652380814845</v>
      </c>
      <c r="P747" s="63"/>
    </row>
    <row r="748" spans="1:16" hidden="1">
      <c r="A748" s="151" t="s">
        <v>283</v>
      </c>
      <c r="B748" s="34" t="s">
        <v>248</v>
      </c>
      <c r="C748" s="40" t="s">
        <v>139</v>
      </c>
      <c r="D748" s="34" t="s">
        <v>139</v>
      </c>
      <c r="E748" s="257" t="s">
        <v>150</v>
      </c>
      <c r="F748" s="232">
        <v>1</v>
      </c>
      <c r="G748" s="40"/>
      <c r="H748" s="29"/>
      <c r="I748" s="9"/>
      <c r="J748" s="9"/>
      <c r="K748" s="9"/>
      <c r="L748" s="9"/>
      <c r="M748" s="9"/>
      <c r="N748" s="185" t="str">
        <f t="shared" si="49"/>
        <v/>
      </c>
      <c r="O748" s="159" t="str">
        <f t="shared" si="50"/>
        <v/>
      </c>
      <c r="P748" s="63"/>
    </row>
    <row r="749" spans="1:16" hidden="1">
      <c r="A749" s="151" t="s">
        <v>37</v>
      </c>
      <c r="B749" s="34" t="s">
        <v>161</v>
      </c>
      <c r="C749" s="40" t="s">
        <v>139</v>
      </c>
      <c r="D749" s="34" t="s">
        <v>85</v>
      </c>
      <c r="E749" s="257">
        <f>Intentionally_produced_MPs!L127</f>
        <v>5.5555555555555546E-2</v>
      </c>
      <c r="F749" s="232">
        <v>1</v>
      </c>
      <c r="G749" s="40"/>
      <c r="H749" s="29">
        <v>3</v>
      </c>
      <c r="I749" s="9">
        <v>2</v>
      </c>
      <c r="J749" s="9">
        <v>3</v>
      </c>
      <c r="K749" s="9">
        <v>3</v>
      </c>
      <c r="L749" s="9">
        <v>3</v>
      </c>
      <c r="M749" s="9">
        <v>3</v>
      </c>
      <c r="N749" s="185">
        <f t="shared" si="49"/>
        <v>1.2132328390150593</v>
      </c>
      <c r="O749" s="159">
        <f t="shared" si="50"/>
        <v>1.1713319510247036</v>
      </c>
      <c r="P749" s="63"/>
    </row>
    <row r="750" spans="1:16" hidden="1">
      <c r="A750" s="151" t="s">
        <v>37</v>
      </c>
      <c r="B750" s="34" t="s">
        <v>161</v>
      </c>
      <c r="C750" s="40" t="s">
        <v>139</v>
      </c>
      <c r="D750" s="34" t="s">
        <v>86</v>
      </c>
      <c r="E750" s="257">
        <f>Intentionally_produced_MPs!L128</f>
        <v>8.8868167073346722E-3</v>
      </c>
      <c r="F750" s="232">
        <v>1</v>
      </c>
      <c r="G750" s="40"/>
      <c r="H750" s="29">
        <v>3</v>
      </c>
      <c r="I750" s="9">
        <v>2</v>
      </c>
      <c r="J750" s="9">
        <v>3</v>
      </c>
      <c r="K750" s="9">
        <v>3</v>
      </c>
      <c r="L750" s="9">
        <v>3</v>
      </c>
      <c r="M750" s="9">
        <v>3</v>
      </c>
      <c r="N750" s="185">
        <f t="shared" si="49"/>
        <v>1.2132328390150593</v>
      </c>
      <c r="O750" s="159">
        <f t="shared" si="50"/>
        <v>1.1713319510247036</v>
      </c>
      <c r="P750" s="63"/>
    </row>
    <row r="751" spans="1:16" hidden="1">
      <c r="A751" s="151" t="s">
        <v>37</v>
      </c>
      <c r="B751" s="34" t="s">
        <v>161</v>
      </c>
      <c r="C751" s="40" t="s">
        <v>139</v>
      </c>
      <c r="D751" s="34" t="s">
        <v>87</v>
      </c>
      <c r="E751" s="257">
        <f>Intentionally_produced_MPs!L129</f>
        <v>0</v>
      </c>
      <c r="F751" s="232">
        <v>1</v>
      </c>
      <c r="G751" s="40"/>
      <c r="H751" s="29"/>
      <c r="I751" s="9"/>
      <c r="J751" s="9"/>
      <c r="K751" s="9"/>
      <c r="L751" s="9"/>
      <c r="M751" s="9"/>
      <c r="N751" s="185" t="str">
        <f t="shared" si="49"/>
        <v/>
      </c>
      <c r="O751" s="159" t="str">
        <f t="shared" si="50"/>
        <v/>
      </c>
      <c r="P751" s="63"/>
    </row>
    <row r="752" spans="1:16" hidden="1">
      <c r="A752" s="151" t="s">
        <v>37</v>
      </c>
      <c r="B752" s="34" t="s">
        <v>161</v>
      </c>
      <c r="C752" s="40" t="s">
        <v>139</v>
      </c>
      <c r="D752" s="34" t="s">
        <v>88</v>
      </c>
      <c r="E752" s="257">
        <f>Intentionally_produced_MPs!L130</f>
        <v>0</v>
      </c>
      <c r="F752" s="232">
        <v>1</v>
      </c>
      <c r="G752" s="40"/>
      <c r="H752" s="29"/>
      <c r="I752" s="9"/>
      <c r="J752" s="9"/>
      <c r="K752" s="9"/>
      <c r="L752" s="9"/>
      <c r="M752" s="9"/>
      <c r="N752" s="185" t="str">
        <f t="shared" si="49"/>
        <v/>
      </c>
      <c r="O752" s="159" t="str">
        <f t="shared" si="50"/>
        <v/>
      </c>
      <c r="P752" s="63"/>
    </row>
    <row r="753" spans="1:16" hidden="1">
      <c r="A753" s="151" t="s">
        <v>37</v>
      </c>
      <c r="B753" s="34" t="s">
        <v>161</v>
      </c>
      <c r="C753" s="40" t="s">
        <v>139</v>
      </c>
      <c r="D753" s="34" t="s">
        <v>89</v>
      </c>
      <c r="E753" s="257">
        <f>Intentionally_produced_MPs!L131</f>
        <v>0</v>
      </c>
      <c r="F753" s="232">
        <v>1</v>
      </c>
      <c r="G753" s="40"/>
      <c r="H753" s="29"/>
      <c r="I753" s="9"/>
      <c r="J753" s="9"/>
      <c r="K753" s="9"/>
      <c r="L753" s="9"/>
      <c r="M753" s="9"/>
      <c r="N753" s="185" t="str">
        <f t="shared" si="49"/>
        <v/>
      </c>
      <c r="O753" s="159" t="str">
        <f t="shared" si="50"/>
        <v/>
      </c>
      <c r="P753" s="63"/>
    </row>
    <row r="754" spans="1:16" hidden="1">
      <c r="A754" s="151" t="s">
        <v>37</v>
      </c>
      <c r="B754" s="34" t="s">
        <v>161</v>
      </c>
      <c r="C754" s="40" t="s">
        <v>139</v>
      </c>
      <c r="D754" s="34" t="s">
        <v>90</v>
      </c>
      <c r="E754" s="257">
        <f>Intentionally_produced_MPs!L132</f>
        <v>5.5555555555555546E-2</v>
      </c>
      <c r="F754" s="232">
        <v>1</v>
      </c>
      <c r="G754" s="40"/>
      <c r="H754" s="29">
        <v>3</v>
      </c>
      <c r="I754" s="9">
        <v>2</v>
      </c>
      <c r="J754" s="9">
        <v>3</v>
      </c>
      <c r="K754" s="9">
        <v>3</v>
      </c>
      <c r="L754" s="9">
        <v>3</v>
      </c>
      <c r="M754" s="9">
        <v>3</v>
      </c>
      <c r="N754" s="185">
        <f t="shared" si="49"/>
        <v>1.2132328390150593</v>
      </c>
      <c r="O754" s="159">
        <f t="shared" si="50"/>
        <v>1.1713319510247036</v>
      </c>
      <c r="P754" s="63"/>
    </row>
    <row r="755" spans="1:16" hidden="1">
      <c r="A755" s="151" t="s">
        <v>37</v>
      </c>
      <c r="B755" s="34" t="s">
        <v>161</v>
      </c>
      <c r="C755" s="40" t="s">
        <v>139</v>
      </c>
      <c r="D755" s="34" t="s">
        <v>91</v>
      </c>
      <c r="E755" s="257">
        <f>Intentionally_produced_MPs!L133</f>
        <v>0.1555597303733175</v>
      </c>
      <c r="F755" s="232">
        <v>1</v>
      </c>
      <c r="G755" s="40"/>
      <c r="H755" s="29">
        <v>3</v>
      </c>
      <c r="I755" s="9">
        <v>2</v>
      </c>
      <c r="J755" s="9">
        <v>3</v>
      </c>
      <c r="K755" s="9">
        <v>3</v>
      </c>
      <c r="L755" s="9">
        <v>3</v>
      </c>
      <c r="M755" s="9">
        <v>3</v>
      </c>
      <c r="N755" s="185">
        <f t="shared" si="49"/>
        <v>1.2132328390150593</v>
      </c>
      <c r="O755" s="159">
        <f t="shared" si="50"/>
        <v>1.1713319510247036</v>
      </c>
      <c r="P755" s="63"/>
    </row>
    <row r="756" spans="1:16" hidden="1">
      <c r="A756" s="151" t="s">
        <v>37</v>
      </c>
      <c r="B756" s="34" t="s">
        <v>161</v>
      </c>
      <c r="C756" s="40" t="s">
        <v>139</v>
      </c>
      <c r="D756" s="34" t="s">
        <v>92</v>
      </c>
      <c r="E756" s="257">
        <f>Intentionally_produced_MPs!L134</f>
        <v>0</v>
      </c>
      <c r="F756" s="232">
        <v>1</v>
      </c>
      <c r="G756" s="40"/>
      <c r="H756" s="29"/>
      <c r="I756" s="9"/>
      <c r="J756" s="9"/>
      <c r="K756" s="9"/>
      <c r="L756" s="9"/>
      <c r="M756" s="9"/>
      <c r="N756" s="185" t="str">
        <f t="shared" si="49"/>
        <v/>
      </c>
      <c r="O756" s="159" t="str">
        <f t="shared" si="50"/>
        <v/>
      </c>
      <c r="P756" s="63"/>
    </row>
    <row r="757" spans="1:16" hidden="1">
      <c r="A757" s="151" t="s">
        <v>37</v>
      </c>
      <c r="B757" s="34" t="s">
        <v>161</v>
      </c>
      <c r="C757" s="40" t="s">
        <v>139</v>
      </c>
      <c r="D757" s="34" t="s">
        <v>93</v>
      </c>
      <c r="E757" s="257">
        <f>Intentionally_produced_MPs!L135</f>
        <v>4.7372437949387489E-3</v>
      </c>
      <c r="F757" s="232">
        <v>1</v>
      </c>
      <c r="G757" s="40"/>
      <c r="H757" s="29">
        <v>3</v>
      </c>
      <c r="I757" s="9">
        <v>2</v>
      </c>
      <c r="J757" s="9">
        <v>3</v>
      </c>
      <c r="K757" s="9">
        <v>3</v>
      </c>
      <c r="L757" s="9">
        <v>3</v>
      </c>
      <c r="M757" s="9">
        <v>3</v>
      </c>
      <c r="N757" s="185">
        <f t="shared" si="49"/>
        <v>1.2132328390150593</v>
      </c>
      <c r="O757" s="159">
        <f t="shared" si="50"/>
        <v>1.1713319510247036</v>
      </c>
      <c r="P757" s="63"/>
    </row>
    <row r="758" spans="1:16" hidden="1">
      <c r="A758" s="151" t="s">
        <v>37</v>
      </c>
      <c r="B758" s="34" t="s">
        <v>161</v>
      </c>
      <c r="C758" s="40" t="s">
        <v>139</v>
      </c>
      <c r="D758" s="34" t="s">
        <v>94</v>
      </c>
      <c r="E758" s="257">
        <f>Intentionally_produced_MPs!L136</f>
        <v>0</v>
      </c>
      <c r="F758" s="232">
        <v>1</v>
      </c>
      <c r="G758" s="40"/>
      <c r="H758" s="29"/>
      <c r="I758" s="9"/>
      <c r="J758" s="9"/>
      <c r="K758" s="9"/>
      <c r="L758" s="9"/>
      <c r="M758" s="9"/>
      <c r="N758" s="185" t="str">
        <f t="shared" si="49"/>
        <v/>
      </c>
      <c r="O758" s="159" t="str">
        <f t="shared" si="50"/>
        <v/>
      </c>
      <c r="P758" s="63"/>
    </row>
    <row r="759" spans="1:16" hidden="1">
      <c r="A759" s="151" t="s">
        <v>37</v>
      </c>
      <c r="B759" s="34" t="s">
        <v>161</v>
      </c>
      <c r="C759" s="40" t="s">
        <v>139</v>
      </c>
      <c r="D759" s="34" t="s">
        <v>95</v>
      </c>
      <c r="E759" s="257">
        <f>Intentionally_produced_MPs!L137</f>
        <v>4.4333947817568178E-2</v>
      </c>
      <c r="F759" s="232">
        <v>1</v>
      </c>
      <c r="G759" s="40"/>
      <c r="H759" s="29">
        <v>3</v>
      </c>
      <c r="I759" s="9">
        <v>2</v>
      </c>
      <c r="J759" s="9">
        <v>3</v>
      </c>
      <c r="K759" s="9">
        <v>3</v>
      </c>
      <c r="L759" s="9">
        <v>3</v>
      </c>
      <c r="M759" s="9">
        <v>3</v>
      </c>
      <c r="N759" s="185">
        <f t="shared" si="49"/>
        <v>1.2132328390150593</v>
      </c>
      <c r="O759" s="159">
        <f t="shared" si="50"/>
        <v>1.1713319510247036</v>
      </c>
      <c r="P759" s="63"/>
    </row>
    <row r="760" spans="1:16" hidden="1">
      <c r="A760" s="151" t="s">
        <v>37</v>
      </c>
      <c r="B760" s="34" t="s">
        <v>161</v>
      </c>
      <c r="C760" s="40" t="s">
        <v>139</v>
      </c>
      <c r="D760" s="34" t="s">
        <v>96</v>
      </c>
      <c r="E760" s="257">
        <f>Intentionally_produced_MPs!L138</f>
        <v>0</v>
      </c>
      <c r="F760" s="232">
        <v>1</v>
      </c>
      <c r="G760" s="40"/>
      <c r="H760" s="29"/>
      <c r="I760" s="9"/>
      <c r="J760" s="9"/>
      <c r="K760" s="9"/>
      <c r="L760" s="9"/>
      <c r="M760" s="9"/>
      <c r="N760" s="185" t="str">
        <f t="shared" si="49"/>
        <v/>
      </c>
      <c r="O760" s="159" t="str">
        <f t="shared" si="50"/>
        <v/>
      </c>
      <c r="P760" s="63"/>
    </row>
    <row r="761" spans="1:16" hidden="1">
      <c r="A761" s="151" t="s">
        <v>37</v>
      </c>
      <c r="B761" s="34" t="s">
        <v>161</v>
      </c>
      <c r="C761" s="40" t="s">
        <v>139</v>
      </c>
      <c r="D761" s="34" t="s">
        <v>97</v>
      </c>
      <c r="E761" s="257">
        <f>Intentionally_produced_MPs!L139</f>
        <v>4.4586330230196494E-2</v>
      </c>
      <c r="F761" s="232">
        <v>1</v>
      </c>
      <c r="G761" s="40"/>
      <c r="H761" s="29">
        <v>3</v>
      </c>
      <c r="I761" s="9">
        <v>2</v>
      </c>
      <c r="J761" s="9">
        <v>3</v>
      </c>
      <c r="K761" s="9">
        <v>3</v>
      </c>
      <c r="L761" s="9">
        <v>3</v>
      </c>
      <c r="M761" s="9">
        <v>3</v>
      </c>
      <c r="N761" s="185">
        <f t="shared" si="49"/>
        <v>1.2132328390150593</v>
      </c>
      <c r="O761" s="159">
        <f t="shared" si="50"/>
        <v>1.1713319510247036</v>
      </c>
      <c r="P761" s="63"/>
    </row>
    <row r="762" spans="1:16" hidden="1">
      <c r="A762" s="151" t="s">
        <v>37</v>
      </c>
      <c r="B762" s="34" t="s">
        <v>161</v>
      </c>
      <c r="C762" s="40" t="s">
        <v>139</v>
      </c>
      <c r="D762" s="34" t="s">
        <v>98</v>
      </c>
      <c r="E762" s="257">
        <f>Intentionally_produced_MPs!L140</f>
        <v>6.8330054573633985E-3</v>
      </c>
      <c r="F762" s="232">
        <v>1</v>
      </c>
      <c r="G762" s="40"/>
      <c r="H762" s="29">
        <v>3</v>
      </c>
      <c r="I762" s="9">
        <v>2</v>
      </c>
      <c r="J762" s="9">
        <v>3</v>
      </c>
      <c r="K762" s="9">
        <v>3</v>
      </c>
      <c r="L762" s="9">
        <v>3</v>
      </c>
      <c r="M762" s="9">
        <v>3</v>
      </c>
      <c r="N762" s="185">
        <f t="shared" si="49"/>
        <v>1.2132328390150593</v>
      </c>
      <c r="O762" s="159">
        <f t="shared" si="50"/>
        <v>1.1713319510247036</v>
      </c>
      <c r="P762" s="63"/>
    </row>
    <row r="763" spans="1:16" hidden="1">
      <c r="A763" s="151" t="s">
        <v>363</v>
      </c>
      <c r="B763" s="34" t="s">
        <v>284</v>
      </c>
      <c r="C763" s="40" t="s">
        <v>139</v>
      </c>
      <c r="D763" s="34" t="s">
        <v>139</v>
      </c>
      <c r="E763" s="257">
        <v>1</v>
      </c>
      <c r="F763" s="232">
        <v>2</v>
      </c>
      <c r="G763" s="40" t="s">
        <v>157</v>
      </c>
      <c r="H763" s="29"/>
      <c r="I763" s="9"/>
      <c r="J763" s="9"/>
      <c r="K763" s="9"/>
      <c r="L763" s="9"/>
      <c r="M763" s="9"/>
      <c r="N763" s="185" t="str">
        <f t="shared" si="49"/>
        <v/>
      </c>
      <c r="O763" s="159" t="str">
        <f t="shared" si="50"/>
        <v/>
      </c>
      <c r="P763" s="63"/>
    </row>
    <row r="764" spans="1:16" hidden="1">
      <c r="A764" s="151" t="s">
        <v>366</v>
      </c>
      <c r="B764" s="34" t="s">
        <v>286</v>
      </c>
      <c r="C764" s="40" t="s">
        <v>139</v>
      </c>
      <c r="D764" s="34" t="s">
        <v>139</v>
      </c>
      <c r="E764" s="257">
        <v>0.50016393442622953</v>
      </c>
      <c r="F764" s="232">
        <v>2</v>
      </c>
      <c r="G764" s="847" t="s">
        <v>289</v>
      </c>
      <c r="H764" s="29">
        <v>2</v>
      </c>
      <c r="I764" s="9"/>
      <c r="J764" s="9">
        <v>2</v>
      </c>
      <c r="K764" s="9">
        <v>3</v>
      </c>
      <c r="L764" s="9">
        <v>3</v>
      </c>
      <c r="M764" s="9">
        <v>1</v>
      </c>
      <c r="N764" s="185">
        <f t="shared" si="49"/>
        <v>0.51126068492676302</v>
      </c>
      <c r="O764" s="159" t="str">
        <f t="shared" si="50"/>
        <v/>
      </c>
      <c r="P764" s="63"/>
    </row>
    <row r="765" spans="1:16" hidden="1">
      <c r="A765" s="151" t="s">
        <v>366</v>
      </c>
      <c r="B765" s="34" t="s">
        <v>286</v>
      </c>
      <c r="C765" s="40" t="s">
        <v>139</v>
      </c>
      <c r="D765" s="34" t="s">
        <v>139</v>
      </c>
      <c r="E765" s="257">
        <v>0.78343949044585992</v>
      </c>
      <c r="F765" s="232">
        <v>2</v>
      </c>
      <c r="G765" s="847" t="s">
        <v>403</v>
      </c>
      <c r="H765" s="29">
        <v>2</v>
      </c>
      <c r="I765" s="9"/>
      <c r="J765" s="9">
        <v>2</v>
      </c>
      <c r="K765" s="9">
        <v>3</v>
      </c>
      <c r="L765" s="9">
        <v>3</v>
      </c>
      <c r="M765" s="9">
        <v>1</v>
      </c>
      <c r="N765" s="185">
        <f t="shared" si="49"/>
        <v>0.51126068492676302</v>
      </c>
      <c r="O765" s="159" t="str">
        <f t="shared" si="50"/>
        <v/>
      </c>
      <c r="P765" s="63"/>
    </row>
    <row r="766" spans="1:16" hidden="1">
      <c r="A766" s="151" t="s">
        <v>366</v>
      </c>
      <c r="B766" s="34" t="s">
        <v>286</v>
      </c>
      <c r="C766" s="40" t="s">
        <v>139</v>
      </c>
      <c r="D766" s="34" t="s">
        <v>139</v>
      </c>
      <c r="E766" s="257">
        <v>0.91509433962264153</v>
      </c>
      <c r="F766" s="232">
        <v>2</v>
      </c>
      <c r="G766" s="847" t="s">
        <v>404</v>
      </c>
      <c r="H766" s="29">
        <v>2</v>
      </c>
      <c r="I766" s="9"/>
      <c r="J766" s="9">
        <v>2</v>
      </c>
      <c r="K766" s="9">
        <v>3</v>
      </c>
      <c r="L766" s="9">
        <v>3</v>
      </c>
      <c r="M766" s="9">
        <v>1</v>
      </c>
      <c r="N766" s="185">
        <f t="shared" si="49"/>
        <v>0.51126068492676302</v>
      </c>
      <c r="O766" s="159" t="str">
        <f t="shared" si="50"/>
        <v/>
      </c>
      <c r="P766" s="63"/>
    </row>
    <row r="767" spans="1:16" hidden="1">
      <c r="A767" s="151" t="s">
        <v>366</v>
      </c>
      <c r="B767" s="34" t="s">
        <v>286</v>
      </c>
      <c r="C767" s="40" t="s">
        <v>139</v>
      </c>
      <c r="D767" s="34" t="s">
        <v>139</v>
      </c>
      <c r="E767" s="257">
        <v>0.97399999999999998</v>
      </c>
      <c r="F767" s="232">
        <v>2</v>
      </c>
      <c r="G767" s="847" t="s">
        <v>293</v>
      </c>
      <c r="H767" s="29">
        <v>2</v>
      </c>
      <c r="I767" s="9"/>
      <c r="J767" s="9">
        <v>2</v>
      </c>
      <c r="K767" s="9">
        <v>3</v>
      </c>
      <c r="L767" s="9">
        <v>3</v>
      </c>
      <c r="M767" s="9">
        <v>1</v>
      </c>
      <c r="N767" s="185">
        <f t="shared" si="49"/>
        <v>0.51126068492676302</v>
      </c>
      <c r="O767" s="159" t="str">
        <f t="shared" si="50"/>
        <v/>
      </c>
      <c r="P767" s="63"/>
    </row>
    <row r="768" spans="1:16" hidden="1">
      <c r="A768" s="151" t="s">
        <v>366</v>
      </c>
      <c r="B768" s="34" t="s">
        <v>286</v>
      </c>
      <c r="C768" s="40" t="s">
        <v>139</v>
      </c>
      <c r="D768" s="34" t="s">
        <v>139</v>
      </c>
      <c r="E768" s="257">
        <v>0.98399999999999999</v>
      </c>
      <c r="F768" s="232">
        <v>2</v>
      </c>
      <c r="G768" s="847" t="s">
        <v>293</v>
      </c>
      <c r="H768" s="29">
        <v>2</v>
      </c>
      <c r="I768" s="9"/>
      <c r="J768" s="9">
        <v>2</v>
      </c>
      <c r="K768" s="9">
        <v>3</v>
      </c>
      <c r="L768" s="9">
        <v>3</v>
      </c>
      <c r="M768" s="9">
        <v>1</v>
      </c>
      <c r="N768" s="185">
        <f t="shared" si="49"/>
        <v>0.51126068492676302</v>
      </c>
      <c r="O768" s="159" t="str">
        <f t="shared" si="50"/>
        <v/>
      </c>
      <c r="P768" s="63"/>
    </row>
    <row r="769" spans="1:868" hidden="1">
      <c r="A769" s="151" t="s">
        <v>366</v>
      </c>
      <c r="B769" s="34" t="s">
        <v>286</v>
      </c>
      <c r="C769" s="40" t="s">
        <v>139</v>
      </c>
      <c r="D769" s="34" t="s">
        <v>139</v>
      </c>
      <c r="E769" s="257">
        <v>0.68936446173800259</v>
      </c>
      <c r="F769" s="232">
        <v>2</v>
      </c>
      <c r="G769" s="847" t="s">
        <v>295</v>
      </c>
      <c r="H769" s="29">
        <v>2</v>
      </c>
      <c r="I769" s="9"/>
      <c r="J769" s="9">
        <v>2</v>
      </c>
      <c r="K769" s="9">
        <v>3</v>
      </c>
      <c r="L769" s="9">
        <v>3</v>
      </c>
      <c r="M769" s="9">
        <v>1</v>
      </c>
      <c r="N769" s="185">
        <f t="shared" si="49"/>
        <v>0.51126068492676302</v>
      </c>
      <c r="O769" s="159" t="str">
        <f t="shared" si="50"/>
        <v/>
      </c>
      <c r="P769" s="63"/>
    </row>
    <row r="770" spans="1:868" hidden="1">
      <c r="A770" s="151" t="s">
        <v>314</v>
      </c>
      <c r="B770" s="34" t="s">
        <v>223</v>
      </c>
      <c r="C770" s="40" t="s">
        <v>139</v>
      </c>
      <c r="D770" s="34" t="s">
        <v>139</v>
      </c>
      <c r="E770" s="257">
        <v>0.1</v>
      </c>
      <c r="F770" s="232">
        <v>2</v>
      </c>
      <c r="G770" s="40" t="s">
        <v>410</v>
      </c>
      <c r="H770" s="29">
        <v>1</v>
      </c>
      <c r="I770" s="9"/>
      <c r="J770" s="9">
        <v>1</v>
      </c>
      <c r="K770" s="9">
        <v>1</v>
      </c>
      <c r="L770" s="9">
        <v>1</v>
      </c>
      <c r="M770" s="9">
        <v>3</v>
      </c>
      <c r="N770" s="185">
        <f t="shared" ref="N770:N810" si="51">IF( OR( ISBLANK(H770),ISBLANK(J770), ISBLANK(K770), ISBLANK(L770), ISBLANK(M770) ), "", 1.5*SQRT(   EXP(2.21*(H770-1)) + EXP(2.21*(J770-1)) + EXP(2.21*(K770-1)) + EXP(2.21*(L770-1)) + EXP(2.21*M770)   )/100*2.45 )</f>
        <v>1.0141150152164344</v>
      </c>
      <c r="O770" s="159" t="str">
        <f t="shared" ref="O770:O810" si="52">IF( OR( ISBLANK(I770),ISBLANK(J770), ISBLANK(K770), ISBLANK(L770), ISBLANK(M770) ), "", 1.5*SQRT( EXP(2.21*(I770-1)) + EXP(2.21*(J770-1)) + EXP(2.21*(K770-1)) + EXP(2.21*(L770-1)) + EXP(2.21*M770)   )/100*2.45 )</f>
        <v/>
      </c>
      <c r="P770" s="63"/>
    </row>
    <row r="771" spans="1:868" hidden="1">
      <c r="A771" s="151" t="s">
        <v>394</v>
      </c>
      <c r="B771" s="34" t="s">
        <v>377</v>
      </c>
      <c r="C771" s="40" t="s">
        <v>139</v>
      </c>
      <c r="D771" s="34" t="s">
        <v>139</v>
      </c>
      <c r="E771" s="262">
        <v>0.9</v>
      </c>
      <c r="F771" s="34">
        <v>1</v>
      </c>
      <c r="G771" s="40" t="s">
        <v>378</v>
      </c>
      <c r="H771" s="29">
        <v>1</v>
      </c>
      <c r="I771" s="9">
        <v>3</v>
      </c>
      <c r="J771" s="9">
        <v>2</v>
      </c>
      <c r="K771" s="9">
        <v>1</v>
      </c>
      <c r="L771" s="9">
        <v>1</v>
      </c>
      <c r="M771" s="9">
        <v>2</v>
      </c>
      <c r="N771" s="185">
        <f t="shared" si="51"/>
        <v>0.35859414261160716</v>
      </c>
      <c r="O771" s="159">
        <f t="shared" si="52"/>
        <v>0.48935255543384243</v>
      </c>
      <c r="P771" s="838"/>
    </row>
    <row r="772" spans="1:868" hidden="1">
      <c r="A772" s="289" t="s">
        <v>359</v>
      </c>
      <c r="B772" s="55" t="s">
        <v>266</v>
      </c>
      <c r="C772" s="40" t="s">
        <v>139</v>
      </c>
      <c r="D772" s="55" t="s">
        <v>139</v>
      </c>
      <c r="E772" s="257">
        <v>0.24038461538461536</v>
      </c>
      <c r="F772" s="232">
        <v>2</v>
      </c>
      <c r="G772" s="262" t="s">
        <v>163</v>
      </c>
      <c r="H772" s="29">
        <v>2</v>
      </c>
      <c r="I772" s="9">
        <v>2</v>
      </c>
      <c r="J772" s="9">
        <v>1</v>
      </c>
      <c r="K772" s="9">
        <v>1</v>
      </c>
      <c r="L772" s="9">
        <v>1</v>
      </c>
      <c r="M772" s="9">
        <v>3</v>
      </c>
      <c r="N772" s="185">
        <f t="shared" si="51"/>
        <v>1.0195048044558224</v>
      </c>
      <c r="O772" s="159">
        <f t="shared" si="52"/>
        <v>1.0195048044558224</v>
      </c>
      <c r="P772" s="63" t="s">
        <v>356</v>
      </c>
    </row>
    <row r="773" spans="1:868" hidden="1">
      <c r="A773" s="289" t="s">
        <v>359</v>
      </c>
      <c r="B773" s="55" t="s">
        <v>266</v>
      </c>
      <c r="C773" s="40" t="s">
        <v>139</v>
      </c>
      <c r="D773" s="55" t="s">
        <v>139</v>
      </c>
      <c r="E773" s="257">
        <v>0.13440860215053765</v>
      </c>
      <c r="F773" s="232">
        <v>2</v>
      </c>
      <c r="G773" s="262" t="s">
        <v>163</v>
      </c>
      <c r="H773" s="29">
        <v>2</v>
      </c>
      <c r="I773" s="9">
        <v>2</v>
      </c>
      <c r="J773" s="9">
        <v>1</v>
      </c>
      <c r="K773" s="9">
        <v>1</v>
      </c>
      <c r="L773" s="9">
        <v>1</v>
      </c>
      <c r="M773" s="9">
        <v>3</v>
      </c>
      <c r="N773" s="185">
        <f t="shared" si="51"/>
        <v>1.0195048044558224</v>
      </c>
      <c r="O773" s="159">
        <f t="shared" si="52"/>
        <v>1.0195048044558224</v>
      </c>
      <c r="P773" s="63" t="s">
        <v>357</v>
      </c>
    </row>
    <row r="774" spans="1:868" hidden="1">
      <c r="A774" s="151" t="s">
        <v>366</v>
      </c>
      <c r="B774" s="34" t="s">
        <v>188</v>
      </c>
      <c r="C774" s="40" t="s">
        <v>139</v>
      </c>
      <c r="D774" s="34" t="s">
        <v>139</v>
      </c>
      <c r="E774" s="257" t="s">
        <v>150</v>
      </c>
      <c r="F774" s="232">
        <v>1</v>
      </c>
      <c r="G774" s="40"/>
      <c r="H774" s="29"/>
      <c r="I774" s="9"/>
      <c r="J774" s="9"/>
      <c r="K774" s="9"/>
      <c r="L774" s="9"/>
      <c r="M774" s="9"/>
      <c r="N774" s="185" t="str">
        <f t="shared" si="51"/>
        <v/>
      </c>
      <c r="O774" s="159" t="str">
        <f t="shared" si="52"/>
        <v/>
      </c>
      <c r="P774" s="63"/>
    </row>
    <row r="775" spans="1:868" hidden="1">
      <c r="A775" s="151" t="s">
        <v>210</v>
      </c>
      <c r="B775" s="34" t="s">
        <v>265</v>
      </c>
      <c r="C775" s="40" t="s">
        <v>139</v>
      </c>
      <c r="D775" s="34" t="s">
        <v>139</v>
      </c>
      <c r="E775" s="257" t="s">
        <v>150</v>
      </c>
      <c r="F775" s="232">
        <v>1</v>
      </c>
      <c r="G775" s="40"/>
      <c r="H775" s="29"/>
      <c r="I775" s="9"/>
      <c r="J775" s="9"/>
      <c r="K775" s="9"/>
      <c r="L775" s="9"/>
      <c r="M775" s="9"/>
      <c r="N775" s="185" t="str">
        <f t="shared" si="51"/>
        <v/>
      </c>
      <c r="O775" s="159" t="str">
        <f t="shared" si="52"/>
        <v/>
      </c>
      <c r="P775" s="63"/>
    </row>
    <row r="776" spans="1:868" hidden="1">
      <c r="A776" s="151" t="s">
        <v>314</v>
      </c>
      <c r="B776" s="34" t="s">
        <v>223</v>
      </c>
      <c r="C776" s="40" t="s">
        <v>139</v>
      </c>
      <c r="D776" s="34" t="s">
        <v>139</v>
      </c>
      <c r="E776" s="257">
        <v>0.9</v>
      </c>
      <c r="F776" s="232">
        <v>2</v>
      </c>
      <c r="G776" s="40" t="s">
        <v>147</v>
      </c>
      <c r="H776" s="29">
        <v>1</v>
      </c>
      <c r="I776" s="9"/>
      <c r="J776" s="9">
        <v>1</v>
      </c>
      <c r="K776" s="9">
        <v>1</v>
      </c>
      <c r="L776" s="9">
        <v>1</v>
      </c>
      <c r="M776" s="9">
        <v>3</v>
      </c>
      <c r="N776" s="185">
        <f t="shared" si="51"/>
        <v>1.0141150152164344</v>
      </c>
      <c r="O776" s="159" t="str">
        <f t="shared" si="52"/>
        <v/>
      </c>
      <c r="P776" s="63"/>
    </row>
    <row r="777" spans="1:868" hidden="1">
      <c r="A777" s="151" t="s">
        <v>314</v>
      </c>
      <c r="B777" s="34" t="s">
        <v>414</v>
      </c>
      <c r="C777" s="40" t="s">
        <v>139</v>
      </c>
      <c r="D777" s="34" t="s">
        <v>139</v>
      </c>
      <c r="E777" s="257" t="s">
        <v>150</v>
      </c>
      <c r="F777" s="232">
        <v>1</v>
      </c>
      <c r="G777" s="40"/>
      <c r="H777" s="29"/>
      <c r="I777" s="9"/>
      <c r="J777" s="9"/>
      <c r="K777" s="9"/>
      <c r="L777" s="9"/>
      <c r="M777" s="9"/>
      <c r="N777" s="185" t="str">
        <f t="shared" si="51"/>
        <v/>
      </c>
      <c r="O777" s="159" t="str">
        <f t="shared" si="52"/>
        <v/>
      </c>
      <c r="P777" s="63"/>
    </row>
    <row r="778" spans="1:868" hidden="1">
      <c r="A778" s="151" t="s">
        <v>256</v>
      </c>
      <c r="B778" s="34" t="s">
        <v>267</v>
      </c>
      <c r="C778" s="40" t="s">
        <v>182</v>
      </c>
      <c r="D778" s="69" t="s">
        <v>89</v>
      </c>
      <c r="E778" s="848">
        <v>4.9733570159857902E-2</v>
      </c>
      <c r="F778" s="34">
        <v>1</v>
      </c>
      <c r="G778" s="339" t="s">
        <v>126</v>
      </c>
      <c r="H778" s="29"/>
      <c r="I778" s="9">
        <v>1</v>
      </c>
      <c r="J778" s="9">
        <v>1</v>
      </c>
      <c r="K778" s="9">
        <v>1</v>
      </c>
      <c r="L778" s="9">
        <v>2</v>
      </c>
      <c r="M778" s="9">
        <v>2</v>
      </c>
      <c r="N778" s="185" t="str">
        <f t="shared" si="51"/>
        <v/>
      </c>
      <c r="O778" s="159">
        <f t="shared" si="52"/>
        <v>0.35859414261160716</v>
      </c>
      <c r="P778" s="63"/>
    </row>
    <row r="779" spans="1:868" hidden="1">
      <c r="A779" s="151" t="s">
        <v>256</v>
      </c>
      <c r="B779" s="34" t="s">
        <v>267</v>
      </c>
      <c r="C779" s="40" t="s">
        <v>182</v>
      </c>
      <c r="D779" s="69" t="s">
        <v>90</v>
      </c>
      <c r="E779" s="848">
        <v>0.225984796129924</v>
      </c>
      <c r="F779" s="34">
        <v>1</v>
      </c>
      <c r="G779" s="339" t="s">
        <v>126</v>
      </c>
      <c r="H779" s="29"/>
      <c r="I779" s="9">
        <v>1</v>
      </c>
      <c r="J779" s="9">
        <v>1</v>
      </c>
      <c r="K779" s="9">
        <v>1</v>
      </c>
      <c r="L779" s="9">
        <v>2</v>
      </c>
      <c r="M779" s="9">
        <v>2</v>
      </c>
      <c r="N779" s="185" t="str">
        <f t="shared" si="51"/>
        <v/>
      </c>
      <c r="O779" s="159">
        <f t="shared" si="52"/>
        <v>0.35859414261160716</v>
      </c>
      <c r="P779" s="63"/>
    </row>
    <row r="780" spans="1:868" s="833" customFormat="1" hidden="1">
      <c r="A780" s="151" t="s">
        <v>216</v>
      </c>
      <c r="B780" s="34" t="s">
        <v>258</v>
      </c>
      <c r="C780" s="40" t="s">
        <v>139</v>
      </c>
      <c r="D780" s="34" t="s">
        <v>139</v>
      </c>
      <c r="E780" s="257">
        <v>1</v>
      </c>
      <c r="F780" s="232">
        <v>2</v>
      </c>
      <c r="G780" s="40" t="s">
        <v>157</v>
      </c>
      <c r="H780" s="29"/>
      <c r="I780" s="9"/>
      <c r="J780" s="9"/>
      <c r="K780" s="9"/>
      <c r="L780" s="9"/>
      <c r="M780" s="9"/>
      <c r="N780" s="185" t="str">
        <f t="shared" si="51"/>
        <v/>
      </c>
      <c r="O780" s="159" t="str">
        <f t="shared" si="52"/>
        <v/>
      </c>
      <c r="P780" s="63"/>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c r="JS780" s="16"/>
      <c r="JT780" s="16"/>
      <c r="JU780" s="16"/>
      <c r="JV780" s="16"/>
      <c r="JW780" s="16"/>
      <c r="JX780" s="16"/>
      <c r="JY780" s="16"/>
      <c r="JZ780" s="16"/>
      <c r="KA780" s="16"/>
      <c r="KB780" s="16"/>
      <c r="KC780" s="16"/>
      <c r="KD780" s="16"/>
      <c r="KE780" s="16"/>
      <c r="KF780" s="16"/>
      <c r="KG780" s="16"/>
      <c r="KH780" s="16"/>
      <c r="KI780" s="16"/>
      <c r="KJ780" s="16"/>
      <c r="KK780" s="16"/>
      <c r="KL780" s="16"/>
      <c r="KM780" s="16"/>
      <c r="KN780" s="16"/>
      <c r="KO780" s="16"/>
      <c r="KP780" s="16"/>
      <c r="KQ780" s="16"/>
      <c r="KR780" s="16"/>
      <c r="KS780" s="16"/>
      <c r="KT780" s="16"/>
      <c r="KU780" s="16"/>
      <c r="KV780" s="16"/>
      <c r="KW780" s="16"/>
      <c r="KX780" s="16"/>
      <c r="KY780" s="16"/>
      <c r="KZ780" s="16"/>
      <c r="LA780" s="16"/>
      <c r="LB780" s="16"/>
      <c r="LC780" s="16"/>
      <c r="LD780" s="16"/>
      <c r="LE780" s="16"/>
      <c r="LF780" s="16"/>
      <c r="LG780" s="16"/>
      <c r="LH780" s="16"/>
      <c r="LI780" s="16"/>
      <c r="LJ780" s="16"/>
      <c r="LK780" s="16"/>
      <c r="LL780" s="16"/>
      <c r="LM780" s="16"/>
      <c r="LN780" s="16"/>
      <c r="LO780" s="16"/>
      <c r="LP780" s="16"/>
      <c r="LQ780" s="16"/>
      <c r="LR780" s="16"/>
      <c r="LS780" s="16"/>
      <c r="LT780" s="16"/>
      <c r="LU780" s="16"/>
      <c r="LV780" s="16"/>
      <c r="LW780" s="16"/>
      <c r="LX780" s="16"/>
      <c r="LY780" s="16"/>
      <c r="LZ780" s="16"/>
      <c r="MA780" s="16"/>
      <c r="MB780" s="16"/>
      <c r="MC780" s="16"/>
      <c r="MD780" s="16"/>
      <c r="ME780" s="16"/>
      <c r="MF780" s="16"/>
      <c r="MG780" s="16"/>
      <c r="MH780" s="16"/>
      <c r="MI780" s="16"/>
      <c r="MJ780" s="16"/>
      <c r="MK780" s="16"/>
      <c r="ML780" s="16"/>
      <c r="MM780" s="16"/>
      <c r="MN780" s="16"/>
      <c r="MO780" s="16"/>
      <c r="MP780" s="16"/>
      <c r="MQ780" s="16"/>
      <c r="MR780" s="16"/>
      <c r="MS780" s="16"/>
      <c r="MT780" s="16"/>
      <c r="MU780" s="16"/>
      <c r="MV780" s="16"/>
      <c r="MW780" s="16"/>
      <c r="MX780" s="16"/>
      <c r="MY780" s="16"/>
      <c r="MZ780" s="16"/>
      <c r="NA780" s="16"/>
      <c r="NB780" s="16"/>
      <c r="NC780" s="16"/>
      <c r="ND780" s="16"/>
      <c r="NE780" s="16"/>
      <c r="NF780" s="16"/>
      <c r="NG780" s="16"/>
      <c r="NH780" s="16"/>
      <c r="NI780" s="16"/>
      <c r="NJ780" s="16"/>
      <c r="NK780" s="16"/>
      <c r="NL780" s="16"/>
      <c r="NM780" s="16"/>
      <c r="NN780" s="16"/>
      <c r="NO780" s="16"/>
      <c r="NP780" s="16"/>
      <c r="NQ780" s="16"/>
      <c r="NR780" s="16"/>
      <c r="NS780" s="16"/>
      <c r="NT780" s="16"/>
      <c r="NU780" s="16"/>
      <c r="NV780" s="16"/>
      <c r="NW780" s="16"/>
      <c r="NX780" s="16"/>
      <c r="NY780" s="16"/>
      <c r="NZ780" s="16"/>
      <c r="OA780" s="16"/>
      <c r="OB780" s="16"/>
      <c r="OC780" s="16"/>
      <c r="OD780" s="16"/>
      <c r="OE780" s="16"/>
      <c r="OF780" s="16"/>
      <c r="OG780" s="16"/>
      <c r="OH780" s="16"/>
      <c r="OI780" s="16"/>
      <c r="OJ780" s="16"/>
      <c r="OK780" s="16"/>
      <c r="OL780" s="16"/>
      <c r="OM780" s="16"/>
      <c r="ON780" s="16"/>
      <c r="OO780" s="16"/>
      <c r="OP780" s="16"/>
      <c r="OQ780" s="16"/>
      <c r="OR780" s="16"/>
      <c r="OS780" s="16"/>
      <c r="OT780" s="16"/>
      <c r="OU780" s="16"/>
      <c r="OV780" s="16"/>
      <c r="OW780" s="16"/>
      <c r="OX780" s="16"/>
      <c r="OY780" s="16"/>
      <c r="OZ780" s="16"/>
      <c r="PA780" s="16"/>
      <c r="PB780" s="16"/>
      <c r="PC780" s="16"/>
      <c r="PD780" s="16"/>
      <c r="PE780" s="16"/>
      <c r="PF780" s="16"/>
      <c r="PG780" s="16"/>
      <c r="PH780" s="16"/>
      <c r="PI780" s="16"/>
      <c r="PJ780" s="16"/>
      <c r="PK780" s="16"/>
      <c r="PL780" s="16"/>
      <c r="PM780" s="16"/>
      <c r="PN780" s="16"/>
      <c r="PO780" s="16"/>
      <c r="PP780" s="16"/>
      <c r="PQ780" s="16"/>
      <c r="PR780" s="16"/>
      <c r="PS780" s="16"/>
      <c r="PT780" s="16"/>
      <c r="PU780" s="16"/>
      <c r="PV780" s="16"/>
      <c r="PW780" s="16"/>
      <c r="PX780" s="16"/>
      <c r="PY780" s="16"/>
      <c r="PZ780" s="16"/>
      <c r="QA780" s="16"/>
      <c r="QB780" s="16"/>
      <c r="QC780" s="16"/>
      <c r="QD780" s="16"/>
      <c r="QE780" s="16"/>
      <c r="QF780" s="16"/>
      <c r="QG780" s="16"/>
      <c r="QH780" s="16"/>
      <c r="QI780" s="16"/>
      <c r="QJ780" s="16"/>
      <c r="QK780" s="16"/>
      <c r="QL780" s="16"/>
      <c r="QM780" s="16"/>
      <c r="QN780" s="16"/>
      <c r="QO780" s="16"/>
      <c r="QP780" s="16"/>
      <c r="QQ780" s="16"/>
      <c r="QR780" s="16"/>
      <c r="QS780" s="16"/>
      <c r="QT780" s="16"/>
      <c r="QU780" s="16"/>
      <c r="QV780" s="16"/>
      <c r="QW780" s="16"/>
      <c r="QX780" s="16"/>
      <c r="QY780" s="16"/>
      <c r="QZ780" s="16"/>
      <c r="RA780" s="16"/>
      <c r="RB780" s="16"/>
      <c r="RC780" s="16"/>
      <c r="RD780" s="16"/>
      <c r="RE780" s="16"/>
      <c r="RF780" s="16"/>
      <c r="RG780" s="16"/>
      <c r="RH780" s="16"/>
      <c r="RI780" s="16"/>
      <c r="RJ780" s="16"/>
      <c r="RK780" s="16"/>
      <c r="RL780" s="16"/>
      <c r="RM780" s="16"/>
      <c r="RN780" s="16"/>
      <c r="RO780" s="16"/>
      <c r="RP780" s="16"/>
      <c r="RQ780" s="16"/>
      <c r="RR780" s="16"/>
      <c r="RS780" s="16"/>
      <c r="RT780" s="16"/>
      <c r="RU780" s="16"/>
      <c r="RV780" s="16"/>
      <c r="RW780" s="16"/>
      <c r="RX780" s="16"/>
      <c r="RY780" s="16"/>
      <c r="RZ780" s="16"/>
      <c r="SA780" s="16"/>
      <c r="SB780" s="16"/>
      <c r="SC780" s="16"/>
      <c r="SD780" s="16"/>
      <c r="SE780" s="16"/>
      <c r="SF780" s="16"/>
      <c r="SG780" s="16"/>
      <c r="SH780" s="16"/>
      <c r="SI780" s="16"/>
      <c r="SJ780" s="16"/>
      <c r="SK780" s="16"/>
      <c r="SL780" s="16"/>
      <c r="SM780" s="16"/>
      <c r="SN780" s="16"/>
      <c r="SO780" s="16"/>
      <c r="SP780" s="16"/>
      <c r="SQ780" s="16"/>
      <c r="SR780" s="16"/>
      <c r="SS780" s="16"/>
      <c r="ST780" s="16"/>
      <c r="SU780" s="16"/>
      <c r="SV780" s="16"/>
      <c r="SW780" s="16"/>
      <c r="SX780" s="16"/>
      <c r="SY780" s="16"/>
      <c r="SZ780" s="16"/>
      <c r="TA780" s="16"/>
      <c r="TB780" s="16"/>
      <c r="TC780" s="16"/>
      <c r="TD780" s="16"/>
      <c r="TE780" s="16"/>
      <c r="TF780" s="16"/>
      <c r="TG780" s="16"/>
      <c r="TH780" s="16"/>
      <c r="TI780" s="16"/>
      <c r="TJ780" s="16"/>
      <c r="TK780" s="16"/>
      <c r="TL780" s="16"/>
      <c r="TM780" s="16"/>
      <c r="TN780" s="16"/>
      <c r="TO780" s="16"/>
      <c r="TP780" s="16"/>
      <c r="TQ780" s="16"/>
      <c r="TR780" s="16"/>
      <c r="TS780" s="16"/>
      <c r="TT780" s="16"/>
      <c r="TU780" s="16"/>
      <c r="TV780" s="16"/>
      <c r="TW780" s="16"/>
      <c r="TX780" s="16"/>
      <c r="TY780" s="16"/>
      <c r="TZ780" s="16"/>
      <c r="UA780" s="16"/>
      <c r="UB780" s="16"/>
      <c r="UC780" s="16"/>
      <c r="UD780" s="16"/>
      <c r="UE780" s="16"/>
      <c r="UF780" s="16"/>
      <c r="UG780" s="16"/>
      <c r="UH780" s="16"/>
      <c r="UI780" s="16"/>
      <c r="UJ780" s="16"/>
      <c r="UK780" s="16"/>
      <c r="UL780" s="16"/>
      <c r="UM780" s="16"/>
      <c r="UN780" s="16"/>
      <c r="UO780" s="16"/>
      <c r="UP780" s="16"/>
      <c r="UQ780" s="16"/>
      <c r="UR780" s="16"/>
      <c r="US780" s="16"/>
      <c r="UT780" s="16"/>
      <c r="UU780" s="16"/>
      <c r="UV780" s="16"/>
      <c r="UW780" s="16"/>
      <c r="UX780" s="16"/>
      <c r="UY780" s="16"/>
      <c r="UZ780" s="16"/>
      <c r="VA780" s="16"/>
      <c r="VB780" s="16"/>
      <c r="VC780" s="16"/>
      <c r="VD780" s="16"/>
      <c r="VE780" s="16"/>
      <c r="VF780" s="16"/>
      <c r="VG780" s="16"/>
      <c r="VH780" s="16"/>
      <c r="VI780" s="16"/>
      <c r="VJ780" s="16"/>
      <c r="VK780" s="16"/>
      <c r="VL780" s="16"/>
      <c r="VM780" s="16"/>
      <c r="VN780" s="16"/>
      <c r="VO780" s="16"/>
      <c r="VP780" s="16"/>
      <c r="VQ780" s="16"/>
      <c r="VR780" s="16"/>
      <c r="VS780" s="16"/>
      <c r="VT780" s="16"/>
      <c r="VU780" s="16"/>
      <c r="VV780" s="16"/>
      <c r="VW780" s="16"/>
      <c r="VX780" s="16"/>
      <c r="VY780" s="16"/>
      <c r="VZ780" s="16"/>
      <c r="WA780" s="16"/>
      <c r="WB780" s="16"/>
      <c r="WC780" s="16"/>
      <c r="WD780" s="16"/>
      <c r="WE780" s="16"/>
      <c r="WF780" s="16"/>
      <c r="WG780" s="16"/>
      <c r="WH780" s="16"/>
      <c r="WI780" s="16"/>
      <c r="WJ780" s="16"/>
      <c r="WK780" s="16"/>
      <c r="WL780" s="16"/>
      <c r="WM780" s="16"/>
      <c r="WN780" s="16"/>
      <c r="WO780" s="16"/>
      <c r="WP780" s="16"/>
      <c r="WQ780" s="16"/>
      <c r="WR780" s="16"/>
      <c r="WS780" s="16"/>
      <c r="WT780" s="16"/>
      <c r="WU780" s="16"/>
      <c r="WV780" s="16"/>
      <c r="WW780" s="16"/>
      <c r="WX780" s="16"/>
      <c r="WY780" s="16"/>
      <c r="WZ780" s="16"/>
      <c r="XA780" s="16"/>
      <c r="XB780" s="16"/>
      <c r="XC780" s="16"/>
      <c r="XD780" s="16"/>
      <c r="XE780" s="16"/>
      <c r="XF780" s="16"/>
      <c r="XG780" s="16"/>
      <c r="XH780" s="16"/>
      <c r="XI780" s="16"/>
      <c r="XJ780" s="16"/>
      <c r="XK780" s="16"/>
      <c r="XL780" s="16"/>
      <c r="XM780" s="16"/>
      <c r="XN780" s="16"/>
      <c r="XO780" s="16"/>
      <c r="XP780" s="16"/>
      <c r="XQ780" s="16"/>
      <c r="XR780" s="16"/>
      <c r="XS780" s="16"/>
      <c r="XT780" s="16"/>
      <c r="XU780" s="16"/>
      <c r="XV780" s="16"/>
      <c r="XW780" s="16"/>
      <c r="XX780" s="16"/>
      <c r="XY780" s="16"/>
      <c r="XZ780" s="16"/>
      <c r="YA780" s="16"/>
      <c r="YB780" s="16"/>
      <c r="YC780" s="16"/>
      <c r="YD780" s="16"/>
      <c r="YE780" s="16"/>
      <c r="YF780" s="16"/>
      <c r="YG780" s="16"/>
      <c r="YH780" s="16"/>
      <c r="YI780" s="16"/>
      <c r="YJ780" s="16"/>
      <c r="YK780" s="16"/>
      <c r="YL780" s="16"/>
      <c r="YM780" s="16"/>
      <c r="YN780" s="16"/>
      <c r="YO780" s="16"/>
      <c r="YP780" s="16"/>
      <c r="YQ780" s="16"/>
      <c r="YR780" s="16"/>
      <c r="YS780" s="16"/>
      <c r="YT780" s="16"/>
      <c r="YU780" s="16"/>
      <c r="YV780" s="16"/>
      <c r="YW780" s="16"/>
      <c r="YX780" s="16"/>
      <c r="YY780" s="16"/>
      <c r="YZ780" s="16"/>
      <c r="ZA780" s="16"/>
      <c r="ZB780" s="16"/>
      <c r="ZC780" s="16"/>
      <c r="ZD780" s="16"/>
      <c r="ZE780" s="16"/>
      <c r="ZF780" s="16"/>
      <c r="ZG780" s="16"/>
      <c r="ZH780" s="16"/>
      <c r="ZI780" s="16"/>
      <c r="ZJ780" s="16"/>
      <c r="ZK780" s="16"/>
      <c r="ZL780" s="16"/>
      <c r="ZM780" s="16"/>
      <c r="ZN780" s="16"/>
      <c r="ZO780" s="16"/>
      <c r="ZP780" s="16"/>
      <c r="ZQ780" s="16"/>
      <c r="ZR780" s="16"/>
      <c r="ZS780" s="16"/>
      <c r="ZT780" s="16"/>
      <c r="ZU780" s="16"/>
      <c r="ZV780" s="16"/>
      <c r="ZW780" s="16"/>
      <c r="ZX780" s="16"/>
      <c r="ZY780" s="16"/>
      <c r="ZZ780" s="16"/>
      <c r="AAA780" s="16"/>
      <c r="AAB780" s="16"/>
      <c r="AAC780" s="16"/>
      <c r="AAD780" s="16"/>
      <c r="AAE780" s="16"/>
      <c r="AAF780" s="16"/>
      <c r="AAG780" s="16"/>
      <c r="AAH780" s="16"/>
      <c r="AAI780" s="16"/>
      <c r="AAJ780" s="16"/>
      <c r="AAK780" s="16"/>
      <c r="AAL780" s="16"/>
      <c r="AAM780" s="16"/>
      <c r="AAN780" s="16"/>
      <c r="AAO780" s="16"/>
      <c r="AAP780" s="16"/>
      <c r="AAQ780" s="16"/>
      <c r="AAR780" s="16"/>
      <c r="AAS780" s="16"/>
      <c r="AAT780" s="16"/>
      <c r="AAU780" s="16"/>
      <c r="AAV780" s="16"/>
      <c r="AAW780" s="16"/>
      <c r="AAX780" s="16"/>
      <c r="AAY780" s="16"/>
      <c r="AAZ780" s="16"/>
      <c r="ABA780" s="16"/>
      <c r="ABB780" s="16"/>
      <c r="ABC780" s="16"/>
      <c r="ABD780" s="16"/>
      <c r="ABE780" s="16"/>
      <c r="ABF780" s="16"/>
      <c r="ABG780" s="16"/>
      <c r="ABH780" s="16"/>
      <c r="ABI780" s="16"/>
      <c r="ABJ780" s="16"/>
      <c r="ABK780" s="16"/>
      <c r="ABL780" s="16"/>
      <c r="ABM780" s="16"/>
      <c r="ABN780" s="16"/>
      <c r="ABO780" s="16"/>
      <c r="ABP780" s="16"/>
      <c r="ABQ780" s="16"/>
      <c r="ABR780" s="16"/>
      <c r="ABS780" s="16"/>
      <c r="ABT780" s="16"/>
      <c r="ABU780" s="16"/>
      <c r="ABV780" s="16"/>
      <c r="ABW780" s="16"/>
      <c r="ABX780" s="16"/>
      <c r="ABY780" s="16"/>
      <c r="ABZ780" s="16"/>
      <c r="ACA780" s="16"/>
      <c r="ACB780" s="16"/>
      <c r="ACC780" s="16"/>
      <c r="ACD780" s="16"/>
      <c r="ACE780" s="16"/>
      <c r="ACF780" s="16"/>
      <c r="ACG780" s="16"/>
      <c r="ACH780" s="16"/>
      <c r="ACI780" s="16"/>
      <c r="ACJ780" s="16"/>
      <c r="ACK780" s="16"/>
      <c r="ACL780" s="16"/>
      <c r="ACM780" s="16"/>
      <c r="ACN780" s="16"/>
      <c r="ACO780" s="16"/>
      <c r="ACP780" s="16"/>
      <c r="ACQ780" s="16"/>
      <c r="ACR780" s="16"/>
      <c r="ACS780" s="16"/>
      <c r="ACT780" s="16"/>
      <c r="ACU780" s="16"/>
      <c r="ACV780" s="16"/>
      <c r="ACW780" s="16"/>
      <c r="ACX780" s="16"/>
      <c r="ACY780" s="16"/>
      <c r="ACZ780" s="16"/>
      <c r="ADA780" s="16"/>
      <c r="ADB780" s="16"/>
      <c r="ADC780" s="16"/>
      <c r="ADD780" s="16"/>
      <c r="ADE780" s="16"/>
      <c r="ADF780" s="16"/>
      <c r="ADG780" s="16"/>
      <c r="ADH780" s="16"/>
      <c r="ADI780" s="16"/>
      <c r="ADJ780" s="16"/>
      <c r="ADK780" s="16"/>
      <c r="ADL780" s="16"/>
      <c r="ADM780" s="16"/>
      <c r="ADN780" s="16"/>
      <c r="ADO780" s="16"/>
      <c r="ADP780" s="16"/>
      <c r="ADQ780" s="16"/>
      <c r="ADR780" s="16"/>
      <c r="ADS780" s="16"/>
      <c r="ADT780" s="16"/>
      <c r="ADU780" s="16"/>
      <c r="ADV780" s="16"/>
      <c r="ADW780" s="16"/>
      <c r="ADX780" s="16"/>
      <c r="ADY780" s="16"/>
      <c r="ADZ780" s="16"/>
      <c r="AEA780" s="16"/>
      <c r="AEB780" s="16"/>
      <c r="AEC780" s="16"/>
      <c r="AED780" s="16"/>
      <c r="AEE780" s="16"/>
      <c r="AEF780" s="16"/>
      <c r="AEG780" s="16"/>
      <c r="AEH780" s="16"/>
      <c r="AEI780" s="16"/>
      <c r="AEJ780" s="16"/>
      <c r="AEK780" s="16"/>
      <c r="AEL780" s="16"/>
      <c r="AEM780" s="16"/>
      <c r="AEN780" s="16"/>
      <c r="AEO780" s="16"/>
      <c r="AEP780" s="16"/>
      <c r="AEQ780" s="16"/>
      <c r="AER780" s="16"/>
      <c r="AES780" s="16"/>
      <c r="AET780" s="16"/>
      <c r="AEU780" s="16"/>
      <c r="AEV780" s="16"/>
      <c r="AEW780" s="16"/>
      <c r="AEX780" s="16"/>
      <c r="AEY780" s="16"/>
      <c r="AEZ780" s="16"/>
      <c r="AFA780" s="16"/>
      <c r="AFB780" s="16"/>
      <c r="AFC780" s="16"/>
      <c r="AFD780" s="16"/>
      <c r="AFE780" s="16"/>
      <c r="AFF780" s="16"/>
      <c r="AFG780" s="16"/>
      <c r="AFH780" s="16"/>
      <c r="AFI780" s="16"/>
      <c r="AFJ780" s="16"/>
      <c r="AFK780" s="16"/>
      <c r="AFL780" s="16"/>
      <c r="AFM780" s="16"/>
      <c r="AFN780" s="16"/>
      <c r="AFO780" s="16"/>
      <c r="AFP780" s="16"/>
      <c r="AFQ780" s="16"/>
      <c r="AFR780" s="16"/>
      <c r="AFS780" s="16"/>
      <c r="AFT780" s="16"/>
      <c r="AFU780" s="16"/>
      <c r="AFV780" s="16"/>
      <c r="AFW780" s="16"/>
      <c r="AFX780" s="16"/>
      <c r="AFY780" s="16"/>
      <c r="AFZ780" s="16"/>
      <c r="AGA780" s="16"/>
      <c r="AGB780" s="16"/>
      <c r="AGC780" s="16"/>
      <c r="AGD780" s="16"/>
      <c r="AGE780" s="16"/>
      <c r="AGF780" s="16"/>
      <c r="AGG780" s="16"/>
      <c r="AGH780" s="16"/>
      <c r="AGI780" s="16"/>
      <c r="AGJ780" s="16"/>
    </row>
    <row r="781" spans="1:868" hidden="1">
      <c r="A781" s="151" t="s">
        <v>256</v>
      </c>
      <c r="B781" s="34" t="s">
        <v>267</v>
      </c>
      <c r="C781" s="40" t="s">
        <v>182</v>
      </c>
      <c r="D781" s="69" t="s">
        <v>91</v>
      </c>
      <c r="E781" s="848">
        <v>9.5582536812193225E-2</v>
      </c>
      <c r="F781" s="34">
        <v>1</v>
      </c>
      <c r="G781" s="339" t="s">
        <v>126</v>
      </c>
      <c r="H781" s="29"/>
      <c r="I781" s="9">
        <v>1</v>
      </c>
      <c r="J781" s="9">
        <v>1</v>
      </c>
      <c r="K781" s="9">
        <v>1</v>
      </c>
      <c r="L781" s="9">
        <v>2</v>
      </c>
      <c r="M781" s="9">
        <v>2</v>
      </c>
      <c r="N781" s="185" t="str">
        <f t="shared" si="51"/>
        <v/>
      </c>
      <c r="O781" s="159">
        <f t="shared" si="52"/>
        <v>0.35859414261160716</v>
      </c>
      <c r="P781" s="63"/>
    </row>
    <row r="782" spans="1:868" hidden="1">
      <c r="A782" s="151" t="s">
        <v>256</v>
      </c>
      <c r="B782" s="34" t="s">
        <v>267</v>
      </c>
      <c r="C782" s="40" t="s">
        <v>182</v>
      </c>
      <c r="D782" s="69" t="s">
        <v>94</v>
      </c>
      <c r="E782" s="848">
        <v>0.24492099322799099</v>
      </c>
      <c r="F782" s="34">
        <v>1</v>
      </c>
      <c r="G782" s="339" t="s">
        <v>126</v>
      </c>
      <c r="H782" s="29"/>
      <c r="I782" s="9">
        <v>1</v>
      </c>
      <c r="J782" s="9">
        <v>1</v>
      </c>
      <c r="K782" s="9">
        <v>1</v>
      </c>
      <c r="L782" s="9">
        <v>2</v>
      </c>
      <c r="M782" s="9">
        <v>2</v>
      </c>
      <c r="N782" s="185" t="str">
        <f t="shared" si="51"/>
        <v/>
      </c>
      <c r="O782" s="159">
        <f t="shared" si="52"/>
        <v>0.35859414261160716</v>
      </c>
      <c r="P782" s="63"/>
    </row>
    <row r="783" spans="1:868" hidden="1">
      <c r="A783" s="151" t="s">
        <v>256</v>
      </c>
      <c r="B783" s="34" t="s">
        <v>267</v>
      </c>
      <c r="C783" s="40" t="s">
        <v>182</v>
      </c>
      <c r="D783" s="69" t="s">
        <v>96</v>
      </c>
      <c r="E783" s="848">
        <v>0.19953775038520799</v>
      </c>
      <c r="F783" s="34">
        <v>1</v>
      </c>
      <c r="G783" s="339" t="s">
        <v>126</v>
      </c>
      <c r="H783" s="29"/>
      <c r="I783" s="9">
        <v>1</v>
      </c>
      <c r="J783" s="9">
        <v>1</v>
      </c>
      <c r="K783" s="9">
        <v>1</v>
      </c>
      <c r="L783" s="9">
        <v>2</v>
      </c>
      <c r="M783" s="9">
        <v>2</v>
      </c>
      <c r="N783" s="185" t="str">
        <f t="shared" si="51"/>
        <v/>
      </c>
      <c r="O783" s="159">
        <f t="shared" si="52"/>
        <v>0.35859414261160716</v>
      </c>
      <c r="P783" s="63"/>
    </row>
    <row r="784" spans="1:868" hidden="1">
      <c r="A784" s="151" t="s">
        <v>256</v>
      </c>
      <c r="B784" s="34" t="s">
        <v>267</v>
      </c>
      <c r="C784" s="40" t="s">
        <v>182</v>
      </c>
      <c r="D784" s="69" t="s">
        <v>97</v>
      </c>
      <c r="E784" s="848">
        <v>0.3138111888111888</v>
      </c>
      <c r="F784" s="34">
        <v>1</v>
      </c>
      <c r="G784" s="339" t="s">
        <v>126</v>
      </c>
      <c r="H784" s="29"/>
      <c r="I784" s="9">
        <v>1</v>
      </c>
      <c r="J784" s="9">
        <v>1</v>
      </c>
      <c r="K784" s="9">
        <v>1</v>
      </c>
      <c r="L784" s="9">
        <v>2</v>
      </c>
      <c r="M784" s="9">
        <v>2</v>
      </c>
      <c r="N784" s="185" t="str">
        <f t="shared" si="51"/>
        <v/>
      </c>
      <c r="O784" s="159">
        <f t="shared" si="52"/>
        <v>0.35859414261160716</v>
      </c>
      <c r="P784" s="63"/>
    </row>
    <row r="785" spans="1:868" hidden="1">
      <c r="A785" s="151" t="s">
        <v>394</v>
      </c>
      <c r="B785" s="34" t="s">
        <v>258</v>
      </c>
      <c r="C785" s="40" t="s">
        <v>139</v>
      </c>
      <c r="D785" s="34" t="s">
        <v>139</v>
      </c>
      <c r="E785" s="262">
        <v>0.1</v>
      </c>
      <c r="F785" s="34">
        <v>1</v>
      </c>
      <c r="G785" s="40" t="s">
        <v>378</v>
      </c>
      <c r="H785" s="29">
        <v>1</v>
      </c>
      <c r="I785" s="9">
        <v>3</v>
      </c>
      <c r="J785" s="9">
        <v>2</v>
      </c>
      <c r="K785" s="9">
        <v>1</v>
      </c>
      <c r="L785" s="9">
        <v>1</v>
      </c>
      <c r="M785" s="9">
        <v>2</v>
      </c>
      <c r="N785" s="185">
        <f t="shared" si="51"/>
        <v>0.35859414261160716</v>
      </c>
      <c r="O785" s="159">
        <f t="shared" si="52"/>
        <v>0.48935255543384243</v>
      </c>
      <c r="P785" s="838"/>
    </row>
    <row r="786" spans="1:868" s="210" customFormat="1" ht="15" hidden="1" thickBot="1">
      <c r="A786" s="151" t="s">
        <v>397</v>
      </c>
      <c r="B786" s="34" t="s">
        <v>300</v>
      </c>
      <c r="C786" s="40" t="s">
        <v>139</v>
      </c>
      <c r="D786" s="34" t="s">
        <v>139</v>
      </c>
      <c r="E786" s="262">
        <v>0.1</v>
      </c>
      <c r="F786" s="232">
        <v>2</v>
      </c>
      <c r="G786" s="40" t="s">
        <v>301</v>
      </c>
      <c r="H786" s="29">
        <v>2</v>
      </c>
      <c r="I786" s="9">
        <v>2</v>
      </c>
      <c r="J786" s="9">
        <v>2</v>
      </c>
      <c r="K786" s="9">
        <v>2</v>
      </c>
      <c r="L786" s="9">
        <v>1</v>
      </c>
      <c r="M786" s="9">
        <v>1</v>
      </c>
      <c r="N786" s="185">
        <f t="shared" si="51"/>
        <v>0.2249354160293616</v>
      </c>
      <c r="O786" s="159">
        <f t="shared" si="52"/>
        <v>0.2249354160293616</v>
      </c>
      <c r="P786" s="838"/>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c r="JS786" s="16"/>
      <c r="JT786" s="16"/>
      <c r="JU786" s="16"/>
      <c r="JV786" s="16"/>
      <c r="JW786" s="16"/>
      <c r="JX786" s="16"/>
      <c r="JY786" s="16"/>
      <c r="JZ786" s="16"/>
      <c r="KA786" s="16"/>
      <c r="KB786" s="16"/>
      <c r="KC786" s="16"/>
      <c r="KD786" s="16"/>
      <c r="KE786" s="16"/>
      <c r="KF786" s="16"/>
      <c r="KG786" s="16"/>
      <c r="KH786" s="16"/>
      <c r="KI786" s="16"/>
      <c r="KJ786" s="16"/>
      <c r="KK786" s="16"/>
      <c r="KL786" s="16"/>
      <c r="KM786" s="16"/>
      <c r="KN786" s="16"/>
      <c r="KO786" s="16"/>
      <c r="KP786" s="16"/>
      <c r="KQ786" s="16"/>
      <c r="KR786" s="16"/>
      <c r="KS786" s="16"/>
      <c r="KT786" s="16"/>
      <c r="KU786" s="16"/>
      <c r="KV786" s="16"/>
      <c r="KW786" s="16"/>
      <c r="KX786" s="16"/>
      <c r="KY786" s="16"/>
      <c r="KZ786" s="16"/>
      <c r="LA786" s="16"/>
      <c r="LB786" s="16"/>
      <c r="LC786" s="16"/>
      <c r="LD786" s="16"/>
      <c r="LE786" s="16"/>
      <c r="LF786" s="16"/>
      <c r="LG786" s="16"/>
      <c r="LH786" s="16"/>
      <c r="LI786" s="16"/>
      <c r="LJ786" s="16"/>
      <c r="LK786" s="16"/>
      <c r="LL786" s="16"/>
      <c r="LM786" s="16"/>
      <c r="LN786" s="16"/>
      <c r="LO786" s="16"/>
      <c r="LP786" s="16"/>
      <c r="LQ786" s="16"/>
      <c r="LR786" s="16"/>
      <c r="LS786" s="16"/>
      <c r="LT786" s="16"/>
      <c r="LU786" s="16"/>
      <c r="LV786" s="16"/>
      <c r="LW786" s="16"/>
      <c r="LX786" s="16"/>
      <c r="LY786" s="16"/>
      <c r="LZ786" s="16"/>
      <c r="MA786" s="16"/>
      <c r="MB786" s="16"/>
      <c r="MC786" s="16"/>
      <c r="MD786" s="16"/>
      <c r="ME786" s="16"/>
      <c r="MF786" s="16"/>
      <c r="MG786" s="16"/>
      <c r="MH786" s="16"/>
      <c r="MI786" s="16"/>
      <c r="MJ786" s="16"/>
      <c r="MK786" s="16"/>
      <c r="ML786" s="16"/>
      <c r="MM786" s="16"/>
      <c r="MN786" s="16"/>
      <c r="MO786" s="16"/>
      <c r="MP786" s="16"/>
      <c r="MQ786" s="16"/>
      <c r="MR786" s="16"/>
      <c r="MS786" s="16"/>
      <c r="MT786" s="16"/>
      <c r="MU786" s="16"/>
      <c r="MV786" s="16"/>
      <c r="MW786" s="16"/>
      <c r="MX786" s="16"/>
      <c r="MY786" s="16"/>
      <c r="MZ786" s="16"/>
      <c r="NA786" s="16"/>
      <c r="NB786" s="16"/>
      <c r="NC786" s="16"/>
      <c r="ND786" s="16"/>
      <c r="NE786" s="16"/>
      <c r="NF786" s="16"/>
      <c r="NG786" s="16"/>
      <c r="NH786" s="16"/>
      <c r="NI786" s="16"/>
      <c r="NJ786" s="16"/>
      <c r="NK786" s="16"/>
      <c r="NL786" s="16"/>
      <c r="NM786" s="16"/>
      <c r="NN786" s="16"/>
      <c r="NO786" s="16"/>
      <c r="NP786" s="16"/>
      <c r="NQ786" s="16"/>
      <c r="NR786" s="16"/>
      <c r="NS786" s="16"/>
      <c r="NT786" s="16"/>
      <c r="NU786" s="16"/>
      <c r="NV786" s="16"/>
      <c r="NW786" s="16"/>
      <c r="NX786" s="16"/>
      <c r="NY786" s="16"/>
      <c r="NZ786" s="16"/>
      <c r="OA786" s="16"/>
      <c r="OB786" s="16"/>
      <c r="OC786" s="16"/>
      <c r="OD786" s="16"/>
      <c r="OE786" s="16"/>
      <c r="OF786" s="16"/>
      <c r="OG786" s="16"/>
      <c r="OH786" s="16"/>
      <c r="OI786" s="16"/>
      <c r="OJ786" s="16"/>
      <c r="OK786" s="16"/>
      <c r="OL786" s="16"/>
      <c r="OM786" s="16"/>
      <c r="ON786" s="16"/>
      <c r="OO786" s="16"/>
      <c r="OP786" s="16"/>
      <c r="OQ786" s="16"/>
      <c r="OR786" s="16"/>
      <c r="OS786" s="16"/>
      <c r="OT786" s="16"/>
      <c r="OU786" s="16"/>
      <c r="OV786" s="16"/>
      <c r="OW786" s="16"/>
      <c r="OX786" s="16"/>
      <c r="OY786" s="16"/>
      <c r="OZ786" s="16"/>
      <c r="PA786" s="16"/>
      <c r="PB786" s="16"/>
      <c r="PC786" s="16"/>
      <c r="PD786" s="16"/>
      <c r="PE786" s="16"/>
      <c r="PF786" s="16"/>
      <c r="PG786" s="16"/>
      <c r="PH786" s="16"/>
      <c r="PI786" s="16"/>
      <c r="PJ786" s="16"/>
      <c r="PK786" s="16"/>
      <c r="PL786" s="16"/>
      <c r="PM786" s="16"/>
      <c r="PN786" s="16"/>
      <c r="PO786" s="16"/>
      <c r="PP786" s="16"/>
      <c r="PQ786" s="16"/>
      <c r="PR786" s="16"/>
      <c r="PS786" s="16"/>
      <c r="PT786" s="16"/>
      <c r="PU786" s="16"/>
      <c r="PV786" s="16"/>
      <c r="PW786" s="16"/>
      <c r="PX786" s="16"/>
      <c r="PY786" s="16"/>
      <c r="PZ786" s="16"/>
      <c r="QA786" s="16"/>
      <c r="QB786" s="16"/>
      <c r="QC786" s="16"/>
      <c r="QD786" s="16"/>
      <c r="QE786" s="16"/>
      <c r="QF786" s="16"/>
      <c r="QG786" s="16"/>
      <c r="QH786" s="16"/>
      <c r="QI786" s="16"/>
      <c r="QJ786" s="16"/>
      <c r="QK786" s="16"/>
      <c r="QL786" s="16"/>
      <c r="QM786" s="16"/>
      <c r="QN786" s="16"/>
      <c r="QO786" s="16"/>
      <c r="QP786" s="16"/>
      <c r="QQ786" s="16"/>
      <c r="QR786" s="16"/>
      <c r="QS786" s="16"/>
      <c r="QT786" s="16"/>
      <c r="QU786" s="16"/>
      <c r="QV786" s="16"/>
      <c r="QW786" s="16"/>
      <c r="QX786" s="16"/>
      <c r="QY786" s="16"/>
      <c r="QZ786" s="16"/>
      <c r="RA786" s="16"/>
      <c r="RB786" s="16"/>
      <c r="RC786" s="16"/>
      <c r="RD786" s="16"/>
      <c r="RE786" s="16"/>
      <c r="RF786" s="16"/>
      <c r="RG786" s="16"/>
      <c r="RH786" s="16"/>
      <c r="RI786" s="16"/>
      <c r="RJ786" s="16"/>
      <c r="RK786" s="16"/>
      <c r="RL786" s="16"/>
      <c r="RM786" s="16"/>
      <c r="RN786" s="16"/>
      <c r="RO786" s="16"/>
      <c r="RP786" s="16"/>
      <c r="RQ786" s="16"/>
      <c r="RR786" s="16"/>
      <c r="RS786" s="16"/>
      <c r="RT786" s="16"/>
      <c r="RU786" s="16"/>
      <c r="RV786" s="16"/>
      <c r="RW786" s="16"/>
      <c r="RX786" s="16"/>
      <c r="RY786" s="16"/>
      <c r="RZ786" s="16"/>
      <c r="SA786" s="16"/>
      <c r="SB786" s="16"/>
      <c r="SC786" s="16"/>
      <c r="SD786" s="16"/>
      <c r="SE786" s="16"/>
      <c r="SF786" s="16"/>
      <c r="SG786" s="16"/>
      <c r="SH786" s="16"/>
      <c r="SI786" s="16"/>
      <c r="SJ786" s="16"/>
      <c r="SK786" s="16"/>
      <c r="SL786" s="16"/>
      <c r="SM786" s="16"/>
      <c r="SN786" s="16"/>
      <c r="SO786" s="16"/>
      <c r="SP786" s="16"/>
      <c r="SQ786" s="16"/>
      <c r="SR786" s="16"/>
      <c r="SS786" s="16"/>
      <c r="ST786" s="16"/>
      <c r="SU786" s="16"/>
      <c r="SV786" s="16"/>
      <c r="SW786" s="16"/>
      <c r="SX786" s="16"/>
      <c r="SY786" s="16"/>
      <c r="SZ786" s="16"/>
      <c r="TA786" s="16"/>
      <c r="TB786" s="16"/>
      <c r="TC786" s="16"/>
      <c r="TD786" s="16"/>
      <c r="TE786" s="16"/>
      <c r="TF786" s="16"/>
      <c r="TG786" s="16"/>
      <c r="TH786" s="16"/>
      <c r="TI786" s="16"/>
      <c r="TJ786" s="16"/>
      <c r="TK786" s="16"/>
      <c r="TL786" s="16"/>
      <c r="TM786" s="16"/>
      <c r="TN786" s="16"/>
      <c r="TO786" s="16"/>
      <c r="TP786" s="16"/>
      <c r="TQ786" s="16"/>
      <c r="TR786" s="16"/>
      <c r="TS786" s="16"/>
      <c r="TT786" s="16"/>
      <c r="TU786" s="16"/>
      <c r="TV786" s="16"/>
      <c r="TW786" s="16"/>
      <c r="TX786" s="16"/>
      <c r="TY786" s="16"/>
      <c r="TZ786" s="16"/>
      <c r="UA786" s="16"/>
      <c r="UB786" s="16"/>
      <c r="UC786" s="16"/>
      <c r="UD786" s="16"/>
      <c r="UE786" s="16"/>
      <c r="UF786" s="16"/>
      <c r="UG786" s="16"/>
      <c r="UH786" s="16"/>
      <c r="UI786" s="16"/>
      <c r="UJ786" s="16"/>
      <c r="UK786" s="16"/>
      <c r="UL786" s="16"/>
      <c r="UM786" s="16"/>
      <c r="UN786" s="16"/>
      <c r="UO786" s="16"/>
      <c r="UP786" s="16"/>
      <c r="UQ786" s="16"/>
      <c r="UR786" s="16"/>
      <c r="US786" s="16"/>
      <c r="UT786" s="16"/>
      <c r="UU786" s="16"/>
      <c r="UV786" s="16"/>
      <c r="UW786" s="16"/>
      <c r="UX786" s="16"/>
      <c r="UY786" s="16"/>
      <c r="UZ786" s="16"/>
      <c r="VA786" s="16"/>
      <c r="VB786" s="16"/>
      <c r="VC786" s="16"/>
      <c r="VD786" s="16"/>
      <c r="VE786" s="16"/>
      <c r="VF786" s="16"/>
      <c r="VG786" s="16"/>
      <c r="VH786" s="16"/>
      <c r="VI786" s="16"/>
      <c r="VJ786" s="16"/>
      <c r="VK786" s="16"/>
      <c r="VL786" s="16"/>
      <c r="VM786" s="16"/>
      <c r="VN786" s="16"/>
      <c r="VO786" s="16"/>
      <c r="VP786" s="16"/>
      <c r="VQ786" s="16"/>
      <c r="VR786" s="16"/>
      <c r="VS786" s="16"/>
      <c r="VT786" s="16"/>
      <c r="VU786" s="16"/>
      <c r="VV786" s="16"/>
      <c r="VW786" s="16"/>
      <c r="VX786" s="16"/>
      <c r="VY786" s="16"/>
      <c r="VZ786" s="16"/>
      <c r="WA786" s="16"/>
      <c r="WB786" s="16"/>
      <c r="WC786" s="16"/>
      <c r="WD786" s="16"/>
      <c r="WE786" s="16"/>
      <c r="WF786" s="16"/>
      <c r="WG786" s="16"/>
      <c r="WH786" s="16"/>
      <c r="WI786" s="16"/>
      <c r="WJ786" s="16"/>
      <c r="WK786" s="16"/>
      <c r="WL786" s="16"/>
      <c r="WM786" s="16"/>
      <c r="WN786" s="16"/>
      <c r="WO786" s="16"/>
      <c r="WP786" s="16"/>
      <c r="WQ786" s="16"/>
      <c r="WR786" s="16"/>
      <c r="WS786" s="16"/>
      <c r="WT786" s="16"/>
      <c r="WU786" s="16"/>
      <c r="WV786" s="16"/>
      <c r="WW786" s="16"/>
      <c r="WX786" s="16"/>
      <c r="WY786" s="16"/>
      <c r="WZ786" s="16"/>
      <c r="XA786" s="16"/>
      <c r="XB786" s="16"/>
      <c r="XC786" s="16"/>
      <c r="XD786" s="16"/>
      <c r="XE786" s="16"/>
      <c r="XF786" s="16"/>
      <c r="XG786" s="16"/>
      <c r="XH786" s="16"/>
      <c r="XI786" s="16"/>
      <c r="XJ786" s="16"/>
      <c r="XK786" s="16"/>
      <c r="XL786" s="16"/>
      <c r="XM786" s="16"/>
      <c r="XN786" s="16"/>
      <c r="XO786" s="16"/>
      <c r="XP786" s="16"/>
      <c r="XQ786" s="16"/>
      <c r="XR786" s="16"/>
      <c r="XS786" s="16"/>
      <c r="XT786" s="16"/>
      <c r="XU786" s="16"/>
      <c r="XV786" s="16"/>
      <c r="XW786" s="16"/>
      <c r="XX786" s="16"/>
      <c r="XY786" s="16"/>
      <c r="XZ786" s="16"/>
      <c r="YA786" s="16"/>
      <c r="YB786" s="16"/>
      <c r="YC786" s="16"/>
      <c r="YD786" s="16"/>
      <c r="YE786" s="16"/>
      <c r="YF786" s="16"/>
      <c r="YG786" s="16"/>
      <c r="YH786" s="16"/>
      <c r="YI786" s="16"/>
      <c r="YJ786" s="16"/>
      <c r="YK786" s="16"/>
      <c r="YL786" s="16"/>
      <c r="YM786" s="16"/>
      <c r="YN786" s="16"/>
      <c r="YO786" s="16"/>
      <c r="YP786" s="16"/>
      <c r="YQ786" s="16"/>
      <c r="YR786" s="16"/>
      <c r="YS786" s="16"/>
      <c r="YT786" s="16"/>
      <c r="YU786" s="16"/>
      <c r="YV786" s="16"/>
      <c r="YW786" s="16"/>
      <c r="YX786" s="16"/>
      <c r="YY786" s="16"/>
      <c r="YZ786" s="16"/>
      <c r="ZA786" s="16"/>
      <c r="ZB786" s="16"/>
      <c r="ZC786" s="16"/>
      <c r="ZD786" s="16"/>
      <c r="ZE786" s="16"/>
      <c r="ZF786" s="16"/>
      <c r="ZG786" s="16"/>
      <c r="ZH786" s="16"/>
      <c r="ZI786" s="16"/>
      <c r="ZJ786" s="16"/>
      <c r="ZK786" s="16"/>
      <c r="ZL786" s="16"/>
      <c r="ZM786" s="16"/>
      <c r="ZN786" s="16"/>
      <c r="ZO786" s="16"/>
      <c r="ZP786" s="16"/>
      <c r="ZQ786" s="16"/>
      <c r="ZR786" s="16"/>
      <c r="ZS786" s="16"/>
      <c r="ZT786" s="16"/>
      <c r="ZU786" s="16"/>
      <c r="ZV786" s="16"/>
      <c r="ZW786" s="16"/>
      <c r="ZX786" s="16"/>
      <c r="ZY786" s="16"/>
      <c r="ZZ786" s="16"/>
      <c r="AAA786" s="16"/>
      <c r="AAB786" s="16"/>
      <c r="AAC786" s="16"/>
      <c r="AAD786" s="16"/>
      <c r="AAE786" s="16"/>
      <c r="AAF786" s="16"/>
      <c r="AAG786" s="16"/>
      <c r="AAH786" s="16"/>
      <c r="AAI786" s="16"/>
      <c r="AAJ786" s="16"/>
      <c r="AAK786" s="16"/>
      <c r="AAL786" s="16"/>
      <c r="AAM786" s="16"/>
      <c r="AAN786" s="16"/>
      <c r="AAO786" s="16"/>
      <c r="AAP786" s="16"/>
      <c r="AAQ786" s="16"/>
      <c r="AAR786" s="16"/>
      <c r="AAS786" s="16"/>
      <c r="AAT786" s="16"/>
      <c r="AAU786" s="16"/>
      <c r="AAV786" s="16"/>
      <c r="AAW786" s="16"/>
      <c r="AAX786" s="16"/>
      <c r="AAY786" s="16"/>
      <c r="AAZ786" s="16"/>
      <c r="ABA786" s="16"/>
      <c r="ABB786" s="16"/>
      <c r="ABC786" s="16"/>
      <c r="ABD786" s="16"/>
      <c r="ABE786" s="16"/>
      <c r="ABF786" s="16"/>
      <c r="ABG786" s="16"/>
      <c r="ABH786" s="16"/>
      <c r="ABI786" s="16"/>
      <c r="ABJ786" s="16"/>
      <c r="ABK786" s="16"/>
      <c r="ABL786" s="16"/>
      <c r="ABM786" s="16"/>
      <c r="ABN786" s="16"/>
      <c r="ABO786" s="16"/>
      <c r="ABP786" s="16"/>
      <c r="ABQ786" s="16"/>
      <c r="ABR786" s="16"/>
      <c r="ABS786" s="16"/>
      <c r="ABT786" s="16"/>
      <c r="ABU786" s="16"/>
      <c r="ABV786" s="16"/>
      <c r="ABW786" s="16"/>
      <c r="ABX786" s="16"/>
      <c r="ABY786" s="16"/>
      <c r="ABZ786" s="16"/>
      <c r="ACA786" s="16"/>
      <c r="ACB786" s="16"/>
      <c r="ACC786" s="16"/>
      <c r="ACD786" s="16"/>
      <c r="ACE786" s="16"/>
      <c r="ACF786" s="16"/>
      <c r="ACG786" s="16"/>
      <c r="ACH786" s="16"/>
      <c r="ACI786" s="16"/>
      <c r="ACJ786" s="16"/>
      <c r="ACK786" s="16"/>
      <c r="ACL786" s="16"/>
      <c r="ACM786" s="16"/>
      <c r="ACN786" s="16"/>
      <c r="ACO786" s="16"/>
      <c r="ACP786" s="16"/>
      <c r="ACQ786" s="16"/>
      <c r="ACR786" s="16"/>
      <c r="ACS786" s="16"/>
      <c r="ACT786" s="16"/>
      <c r="ACU786" s="16"/>
      <c r="ACV786" s="16"/>
      <c r="ACW786" s="16"/>
      <c r="ACX786" s="16"/>
      <c r="ACY786" s="16"/>
      <c r="ACZ786" s="16"/>
      <c r="ADA786" s="16"/>
      <c r="ADB786" s="16"/>
      <c r="ADC786" s="16"/>
      <c r="ADD786" s="16"/>
      <c r="ADE786" s="16"/>
      <c r="ADF786" s="16"/>
      <c r="ADG786" s="16"/>
      <c r="ADH786" s="16"/>
      <c r="ADI786" s="16"/>
      <c r="ADJ786" s="16"/>
      <c r="ADK786" s="16"/>
      <c r="ADL786" s="16"/>
      <c r="ADM786" s="16"/>
      <c r="ADN786" s="16"/>
      <c r="ADO786" s="16"/>
      <c r="ADP786" s="16"/>
      <c r="ADQ786" s="16"/>
      <c r="ADR786" s="16"/>
      <c r="ADS786" s="16"/>
      <c r="ADT786" s="16"/>
      <c r="ADU786" s="16"/>
      <c r="ADV786" s="16"/>
      <c r="ADW786" s="16"/>
      <c r="ADX786" s="16"/>
      <c r="ADY786" s="16"/>
      <c r="ADZ786" s="16"/>
      <c r="AEA786" s="16"/>
      <c r="AEB786" s="16"/>
      <c r="AEC786" s="16"/>
      <c r="AED786" s="16"/>
      <c r="AEE786" s="16"/>
      <c r="AEF786" s="16"/>
      <c r="AEG786" s="16"/>
      <c r="AEH786" s="16"/>
      <c r="AEI786" s="16"/>
      <c r="AEJ786" s="16"/>
      <c r="AEK786" s="16"/>
      <c r="AEL786" s="16"/>
      <c r="AEM786" s="16"/>
      <c r="AEN786" s="16"/>
      <c r="AEO786" s="16"/>
      <c r="AEP786" s="16"/>
      <c r="AEQ786" s="16"/>
      <c r="AER786" s="16"/>
      <c r="AES786" s="16"/>
      <c r="AET786" s="16"/>
      <c r="AEU786" s="16"/>
      <c r="AEV786" s="16"/>
      <c r="AEW786" s="16"/>
      <c r="AEX786" s="16"/>
      <c r="AEY786" s="16"/>
      <c r="AEZ786" s="16"/>
      <c r="AFA786" s="16"/>
      <c r="AFB786" s="16"/>
      <c r="AFC786" s="16"/>
      <c r="AFD786" s="16"/>
      <c r="AFE786" s="16"/>
      <c r="AFF786" s="16"/>
      <c r="AFG786" s="16"/>
      <c r="AFH786" s="16"/>
      <c r="AFI786" s="16"/>
      <c r="AFJ786" s="16"/>
      <c r="AFK786" s="16"/>
      <c r="AFL786" s="16"/>
      <c r="AFM786" s="16"/>
      <c r="AFN786" s="16"/>
      <c r="AFO786" s="16"/>
      <c r="AFP786" s="16"/>
      <c r="AFQ786" s="16"/>
      <c r="AFR786" s="16"/>
      <c r="AFS786" s="16"/>
      <c r="AFT786" s="16"/>
      <c r="AFU786" s="16"/>
      <c r="AFV786" s="16"/>
      <c r="AFW786" s="16"/>
      <c r="AFX786" s="16"/>
      <c r="AFY786" s="16"/>
      <c r="AFZ786" s="16"/>
      <c r="AGA786" s="16"/>
      <c r="AGB786" s="16"/>
      <c r="AGC786" s="16"/>
      <c r="AGD786" s="16"/>
      <c r="AGE786" s="16"/>
      <c r="AGF786" s="16"/>
      <c r="AGG786" s="16"/>
      <c r="AGH786" s="16"/>
      <c r="AGI786" s="16"/>
      <c r="AGJ786" s="16"/>
    </row>
    <row r="787" spans="1:868" s="833" customFormat="1" hidden="1">
      <c r="A787" s="151" t="s">
        <v>397</v>
      </c>
      <c r="B787" s="34" t="s">
        <v>300</v>
      </c>
      <c r="C787" s="40" t="s">
        <v>139</v>
      </c>
      <c r="D787" s="34" t="s">
        <v>139</v>
      </c>
      <c r="E787" s="262">
        <v>0.02</v>
      </c>
      <c r="F787" s="232">
        <v>2</v>
      </c>
      <c r="G787" s="40" t="s">
        <v>301</v>
      </c>
      <c r="H787" s="29">
        <v>2</v>
      </c>
      <c r="I787" s="9">
        <v>2</v>
      </c>
      <c r="J787" s="9">
        <v>2</v>
      </c>
      <c r="K787" s="9">
        <v>2</v>
      </c>
      <c r="L787" s="9">
        <v>1</v>
      </c>
      <c r="M787" s="9">
        <v>1</v>
      </c>
      <c r="N787" s="185">
        <f t="shared" si="51"/>
        <v>0.2249354160293616</v>
      </c>
      <c r="O787" s="159">
        <f t="shared" si="52"/>
        <v>0.2249354160293616</v>
      </c>
      <c r="P787" s="838"/>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c r="JS787" s="16"/>
      <c r="JT787" s="16"/>
      <c r="JU787" s="16"/>
      <c r="JV787" s="16"/>
      <c r="JW787" s="16"/>
      <c r="JX787" s="16"/>
      <c r="JY787" s="16"/>
      <c r="JZ787" s="16"/>
      <c r="KA787" s="16"/>
      <c r="KB787" s="16"/>
      <c r="KC787" s="16"/>
      <c r="KD787" s="16"/>
      <c r="KE787" s="16"/>
      <c r="KF787" s="16"/>
      <c r="KG787" s="16"/>
      <c r="KH787" s="16"/>
      <c r="KI787" s="16"/>
      <c r="KJ787" s="16"/>
      <c r="KK787" s="16"/>
      <c r="KL787" s="16"/>
      <c r="KM787" s="16"/>
      <c r="KN787" s="16"/>
      <c r="KO787" s="16"/>
      <c r="KP787" s="16"/>
      <c r="KQ787" s="16"/>
      <c r="KR787" s="16"/>
      <c r="KS787" s="16"/>
      <c r="KT787" s="16"/>
      <c r="KU787" s="16"/>
      <c r="KV787" s="16"/>
      <c r="KW787" s="16"/>
      <c r="KX787" s="16"/>
      <c r="KY787" s="16"/>
      <c r="KZ787" s="16"/>
      <c r="LA787" s="16"/>
      <c r="LB787" s="16"/>
      <c r="LC787" s="16"/>
      <c r="LD787" s="16"/>
      <c r="LE787" s="16"/>
      <c r="LF787" s="16"/>
      <c r="LG787" s="16"/>
      <c r="LH787" s="16"/>
      <c r="LI787" s="16"/>
      <c r="LJ787" s="16"/>
      <c r="LK787" s="16"/>
      <c r="LL787" s="16"/>
      <c r="LM787" s="16"/>
      <c r="LN787" s="16"/>
      <c r="LO787" s="16"/>
      <c r="LP787" s="16"/>
      <c r="LQ787" s="16"/>
      <c r="LR787" s="16"/>
      <c r="LS787" s="16"/>
      <c r="LT787" s="16"/>
      <c r="LU787" s="16"/>
      <c r="LV787" s="16"/>
      <c r="LW787" s="16"/>
      <c r="LX787" s="16"/>
      <c r="LY787" s="16"/>
      <c r="LZ787" s="16"/>
      <c r="MA787" s="16"/>
      <c r="MB787" s="16"/>
      <c r="MC787" s="16"/>
      <c r="MD787" s="16"/>
      <c r="ME787" s="16"/>
      <c r="MF787" s="16"/>
      <c r="MG787" s="16"/>
      <c r="MH787" s="16"/>
      <c r="MI787" s="16"/>
      <c r="MJ787" s="16"/>
      <c r="MK787" s="16"/>
      <c r="ML787" s="16"/>
      <c r="MM787" s="16"/>
      <c r="MN787" s="16"/>
      <c r="MO787" s="16"/>
      <c r="MP787" s="16"/>
      <c r="MQ787" s="16"/>
      <c r="MR787" s="16"/>
      <c r="MS787" s="16"/>
      <c r="MT787" s="16"/>
      <c r="MU787" s="16"/>
      <c r="MV787" s="16"/>
      <c r="MW787" s="16"/>
      <c r="MX787" s="16"/>
      <c r="MY787" s="16"/>
      <c r="MZ787" s="16"/>
      <c r="NA787" s="16"/>
      <c r="NB787" s="16"/>
      <c r="NC787" s="16"/>
      <c r="ND787" s="16"/>
      <c r="NE787" s="16"/>
      <c r="NF787" s="16"/>
      <c r="NG787" s="16"/>
      <c r="NH787" s="16"/>
      <c r="NI787" s="16"/>
      <c r="NJ787" s="16"/>
      <c r="NK787" s="16"/>
      <c r="NL787" s="16"/>
      <c r="NM787" s="16"/>
      <c r="NN787" s="16"/>
      <c r="NO787" s="16"/>
      <c r="NP787" s="16"/>
      <c r="NQ787" s="16"/>
      <c r="NR787" s="16"/>
      <c r="NS787" s="16"/>
      <c r="NT787" s="16"/>
      <c r="NU787" s="16"/>
      <c r="NV787" s="16"/>
      <c r="NW787" s="16"/>
      <c r="NX787" s="16"/>
      <c r="NY787" s="16"/>
      <c r="NZ787" s="16"/>
      <c r="OA787" s="16"/>
      <c r="OB787" s="16"/>
      <c r="OC787" s="16"/>
      <c r="OD787" s="16"/>
      <c r="OE787" s="16"/>
      <c r="OF787" s="16"/>
      <c r="OG787" s="16"/>
      <c r="OH787" s="16"/>
      <c r="OI787" s="16"/>
      <c r="OJ787" s="16"/>
      <c r="OK787" s="16"/>
      <c r="OL787" s="16"/>
      <c r="OM787" s="16"/>
      <c r="ON787" s="16"/>
      <c r="OO787" s="16"/>
      <c r="OP787" s="16"/>
      <c r="OQ787" s="16"/>
      <c r="OR787" s="16"/>
      <c r="OS787" s="16"/>
      <c r="OT787" s="16"/>
      <c r="OU787" s="16"/>
      <c r="OV787" s="16"/>
      <c r="OW787" s="16"/>
      <c r="OX787" s="16"/>
      <c r="OY787" s="16"/>
      <c r="OZ787" s="16"/>
      <c r="PA787" s="16"/>
      <c r="PB787" s="16"/>
      <c r="PC787" s="16"/>
      <c r="PD787" s="16"/>
      <c r="PE787" s="16"/>
      <c r="PF787" s="16"/>
      <c r="PG787" s="16"/>
      <c r="PH787" s="16"/>
      <c r="PI787" s="16"/>
      <c r="PJ787" s="16"/>
      <c r="PK787" s="16"/>
      <c r="PL787" s="16"/>
      <c r="PM787" s="16"/>
      <c r="PN787" s="16"/>
      <c r="PO787" s="16"/>
      <c r="PP787" s="16"/>
      <c r="PQ787" s="16"/>
      <c r="PR787" s="16"/>
      <c r="PS787" s="16"/>
      <c r="PT787" s="16"/>
      <c r="PU787" s="16"/>
      <c r="PV787" s="16"/>
      <c r="PW787" s="16"/>
      <c r="PX787" s="16"/>
      <c r="PY787" s="16"/>
      <c r="PZ787" s="16"/>
      <c r="QA787" s="16"/>
      <c r="QB787" s="16"/>
      <c r="QC787" s="16"/>
      <c r="QD787" s="16"/>
      <c r="QE787" s="16"/>
      <c r="QF787" s="16"/>
      <c r="QG787" s="16"/>
      <c r="QH787" s="16"/>
      <c r="QI787" s="16"/>
      <c r="QJ787" s="16"/>
      <c r="QK787" s="16"/>
      <c r="QL787" s="16"/>
      <c r="QM787" s="16"/>
      <c r="QN787" s="16"/>
      <c r="QO787" s="16"/>
      <c r="QP787" s="16"/>
      <c r="QQ787" s="16"/>
      <c r="QR787" s="16"/>
      <c r="QS787" s="16"/>
      <c r="QT787" s="16"/>
      <c r="QU787" s="16"/>
      <c r="QV787" s="16"/>
      <c r="QW787" s="16"/>
      <c r="QX787" s="16"/>
      <c r="QY787" s="16"/>
      <c r="QZ787" s="16"/>
      <c r="RA787" s="16"/>
      <c r="RB787" s="16"/>
      <c r="RC787" s="16"/>
      <c r="RD787" s="16"/>
      <c r="RE787" s="16"/>
      <c r="RF787" s="16"/>
      <c r="RG787" s="16"/>
      <c r="RH787" s="16"/>
      <c r="RI787" s="16"/>
      <c r="RJ787" s="16"/>
      <c r="RK787" s="16"/>
      <c r="RL787" s="16"/>
      <c r="RM787" s="16"/>
      <c r="RN787" s="16"/>
      <c r="RO787" s="16"/>
      <c r="RP787" s="16"/>
      <c r="RQ787" s="16"/>
      <c r="RR787" s="16"/>
      <c r="RS787" s="16"/>
      <c r="RT787" s="16"/>
      <c r="RU787" s="16"/>
      <c r="RV787" s="16"/>
      <c r="RW787" s="16"/>
      <c r="RX787" s="16"/>
      <c r="RY787" s="16"/>
      <c r="RZ787" s="16"/>
      <c r="SA787" s="16"/>
      <c r="SB787" s="16"/>
      <c r="SC787" s="16"/>
      <c r="SD787" s="16"/>
      <c r="SE787" s="16"/>
      <c r="SF787" s="16"/>
      <c r="SG787" s="16"/>
      <c r="SH787" s="16"/>
      <c r="SI787" s="16"/>
      <c r="SJ787" s="16"/>
      <c r="SK787" s="16"/>
      <c r="SL787" s="16"/>
      <c r="SM787" s="16"/>
      <c r="SN787" s="16"/>
      <c r="SO787" s="16"/>
      <c r="SP787" s="16"/>
      <c r="SQ787" s="16"/>
      <c r="SR787" s="16"/>
      <c r="SS787" s="16"/>
      <c r="ST787" s="16"/>
      <c r="SU787" s="16"/>
      <c r="SV787" s="16"/>
      <c r="SW787" s="16"/>
      <c r="SX787" s="16"/>
      <c r="SY787" s="16"/>
      <c r="SZ787" s="16"/>
      <c r="TA787" s="16"/>
      <c r="TB787" s="16"/>
      <c r="TC787" s="16"/>
      <c r="TD787" s="16"/>
      <c r="TE787" s="16"/>
      <c r="TF787" s="16"/>
      <c r="TG787" s="16"/>
      <c r="TH787" s="16"/>
      <c r="TI787" s="16"/>
      <c r="TJ787" s="16"/>
      <c r="TK787" s="16"/>
      <c r="TL787" s="16"/>
      <c r="TM787" s="16"/>
      <c r="TN787" s="16"/>
      <c r="TO787" s="16"/>
      <c r="TP787" s="16"/>
      <c r="TQ787" s="16"/>
      <c r="TR787" s="16"/>
      <c r="TS787" s="16"/>
      <c r="TT787" s="16"/>
      <c r="TU787" s="16"/>
      <c r="TV787" s="16"/>
      <c r="TW787" s="16"/>
      <c r="TX787" s="16"/>
      <c r="TY787" s="16"/>
      <c r="TZ787" s="16"/>
      <c r="UA787" s="16"/>
      <c r="UB787" s="16"/>
      <c r="UC787" s="16"/>
      <c r="UD787" s="16"/>
      <c r="UE787" s="16"/>
      <c r="UF787" s="16"/>
      <c r="UG787" s="16"/>
      <c r="UH787" s="16"/>
      <c r="UI787" s="16"/>
      <c r="UJ787" s="16"/>
      <c r="UK787" s="16"/>
      <c r="UL787" s="16"/>
      <c r="UM787" s="16"/>
      <c r="UN787" s="16"/>
      <c r="UO787" s="16"/>
      <c r="UP787" s="16"/>
      <c r="UQ787" s="16"/>
      <c r="UR787" s="16"/>
      <c r="US787" s="16"/>
      <c r="UT787" s="16"/>
      <c r="UU787" s="16"/>
      <c r="UV787" s="16"/>
      <c r="UW787" s="16"/>
      <c r="UX787" s="16"/>
      <c r="UY787" s="16"/>
      <c r="UZ787" s="16"/>
      <c r="VA787" s="16"/>
      <c r="VB787" s="16"/>
      <c r="VC787" s="16"/>
      <c r="VD787" s="16"/>
      <c r="VE787" s="16"/>
      <c r="VF787" s="16"/>
      <c r="VG787" s="16"/>
      <c r="VH787" s="16"/>
      <c r="VI787" s="16"/>
      <c r="VJ787" s="16"/>
      <c r="VK787" s="16"/>
      <c r="VL787" s="16"/>
      <c r="VM787" s="16"/>
      <c r="VN787" s="16"/>
      <c r="VO787" s="16"/>
      <c r="VP787" s="16"/>
      <c r="VQ787" s="16"/>
      <c r="VR787" s="16"/>
      <c r="VS787" s="16"/>
      <c r="VT787" s="16"/>
      <c r="VU787" s="16"/>
      <c r="VV787" s="16"/>
      <c r="VW787" s="16"/>
      <c r="VX787" s="16"/>
      <c r="VY787" s="16"/>
      <c r="VZ787" s="16"/>
      <c r="WA787" s="16"/>
      <c r="WB787" s="16"/>
      <c r="WC787" s="16"/>
      <c r="WD787" s="16"/>
      <c r="WE787" s="16"/>
      <c r="WF787" s="16"/>
      <c r="WG787" s="16"/>
      <c r="WH787" s="16"/>
      <c r="WI787" s="16"/>
      <c r="WJ787" s="16"/>
      <c r="WK787" s="16"/>
      <c r="WL787" s="16"/>
      <c r="WM787" s="16"/>
      <c r="WN787" s="16"/>
      <c r="WO787" s="16"/>
      <c r="WP787" s="16"/>
      <c r="WQ787" s="16"/>
      <c r="WR787" s="16"/>
      <c r="WS787" s="16"/>
      <c r="WT787" s="16"/>
      <c r="WU787" s="16"/>
      <c r="WV787" s="16"/>
      <c r="WW787" s="16"/>
      <c r="WX787" s="16"/>
      <c r="WY787" s="16"/>
      <c r="WZ787" s="16"/>
      <c r="XA787" s="16"/>
      <c r="XB787" s="16"/>
      <c r="XC787" s="16"/>
      <c r="XD787" s="16"/>
      <c r="XE787" s="16"/>
      <c r="XF787" s="16"/>
      <c r="XG787" s="16"/>
      <c r="XH787" s="16"/>
      <c r="XI787" s="16"/>
      <c r="XJ787" s="16"/>
      <c r="XK787" s="16"/>
      <c r="XL787" s="16"/>
      <c r="XM787" s="16"/>
      <c r="XN787" s="16"/>
      <c r="XO787" s="16"/>
      <c r="XP787" s="16"/>
      <c r="XQ787" s="16"/>
      <c r="XR787" s="16"/>
      <c r="XS787" s="16"/>
      <c r="XT787" s="16"/>
      <c r="XU787" s="16"/>
      <c r="XV787" s="16"/>
      <c r="XW787" s="16"/>
      <c r="XX787" s="16"/>
      <c r="XY787" s="16"/>
      <c r="XZ787" s="16"/>
      <c r="YA787" s="16"/>
      <c r="YB787" s="16"/>
      <c r="YC787" s="16"/>
      <c r="YD787" s="16"/>
      <c r="YE787" s="16"/>
      <c r="YF787" s="16"/>
      <c r="YG787" s="16"/>
      <c r="YH787" s="16"/>
      <c r="YI787" s="16"/>
      <c r="YJ787" s="16"/>
      <c r="YK787" s="16"/>
      <c r="YL787" s="16"/>
      <c r="YM787" s="16"/>
      <c r="YN787" s="16"/>
      <c r="YO787" s="16"/>
      <c r="YP787" s="16"/>
      <c r="YQ787" s="16"/>
      <c r="YR787" s="16"/>
      <c r="YS787" s="16"/>
      <c r="YT787" s="16"/>
      <c r="YU787" s="16"/>
      <c r="YV787" s="16"/>
      <c r="YW787" s="16"/>
      <c r="YX787" s="16"/>
      <c r="YY787" s="16"/>
      <c r="YZ787" s="16"/>
      <c r="ZA787" s="16"/>
      <c r="ZB787" s="16"/>
      <c r="ZC787" s="16"/>
      <c r="ZD787" s="16"/>
      <c r="ZE787" s="16"/>
      <c r="ZF787" s="16"/>
      <c r="ZG787" s="16"/>
      <c r="ZH787" s="16"/>
      <c r="ZI787" s="16"/>
      <c r="ZJ787" s="16"/>
      <c r="ZK787" s="16"/>
      <c r="ZL787" s="16"/>
      <c r="ZM787" s="16"/>
      <c r="ZN787" s="16"/>
      <c r="ZO787" s="16"/>
      <c r="ZP787" s="16"/>
      <c r="ZQ787" s="16"/>
      <c r="ZR787" s="16"/>
      <c r="ZS787" s="16"/>
      <c r="ZT787" s="16"/>
      <c r="ZU787" s="16"/>
      <c r="ZV787" s="16"/>
      <c r="ZW787" s="16"/>
      <c r="ZX787" s="16"/>
      <c r="ZY787" s="16"/>
      <c r="ZZ787" s="16"/>
      <c r="AAA787" s="16"/>
      <c r="AAB787" s="16"/>
      <c r="AAC787" s="16"/>
      <c r="AAD787" s="16"/>
      <c r="AAE787" s="16"/>
      <c r="AAF787" s="16"/>
      <c r="AAG787" s="16"/>
      <c r="AAH787" s="16"/>
      <c r="AAI787" s="16"/>
      <c r="AAJ787" s="16"/>
      <c r="AAK787" s="16"/>
      <c r="AAL787" s="16"/>
      <c r="AAM787" s="16"/>
      <c r="AAN787" s="16"/>
      <c r="AAO787" s="16"/>
      <c r="AAP787" s="16"/>
      <c r="AAQ787" s="16"/>
      <c r="AAR787" s="16"/>
      <c r="AAS787" s="16"/>
      <c r="AAT787" s="16"/>
      <c r="AAU787" s="16"/>
      <c r="AAV787" s="16"/>
      <c r="AAW787" s="16"/>
      <c r="AAX787" s="16"/>
      <c r="AAY787" s="16"/>
      <c r="AAZ787" s="16"/>
      <c r="ABA787" s="16"/>
      <c r="ABB787" s="16"/>
      <c r="ABC787" s="16"/>
      <c r="ABD787" s="16"/>
      <c r="ABE787" s="16"/>
      <c r="ABF787" s="16"/>
      <c r="ABG787" s="16"/>
      <c r="ABH787" s="16"/>
      <c r="ABI787" s="16"/>
      <c r="ABJ787" s="16"/>
      <c r="ABK787" s="16"/>
      <c r="ABL787" s="16"/>
      <c r="ABM787" s="16"/>
      <c r="ABN787" s="16"/>
      <c r="ABO787" s="16"/>
      <c r="ABP787" s="16"/>
      <c r="ABQ787" s="16"/>
      <c r="ABR787" s="16"/>
      <c r="ABS787" s="16"/>
      <c r="ABT787" s="16"/>
      <c r="ABU787" s="16"/>
      <c r="ABV787" s="16"/>
      <c r="ABW787" s="16"/>
      <c r="ABX787" s="16"/>
      <c r="ABY787" s="16"/>
      <c r="ABZ787" s="16"/>
      <c r="ACA787" s="16"/>
      <c r="ACB787" s="16"/>
      <c r="ACC787" s="16"/>
      <c r="ACD787" s="16"/>
      <c r="ACE787" s="16"/>
      <c r="ACF787" s="16"/>
      <c r="ACG787" s="16"/>
      <c r="ACH787" s="16"/>
      <c r="ACI787" s="16"/>
      <c r="ACJ787" s="16"/>
      <c r="ACK787" s="16"/>
      <c r="ACL787" s="16"/>
      <c r="ACM787" s="16"/>
      <c r="ACN787" s="16"/>
      <c r="ACO787" s="16"/>
      <c r="ACP787" s="16"/>
      <c r="ACQ787" s="16"/>
      <c r="ACR787" s="16"/>
      <c r="ACS787" s="16"/>
      <c r="ACT787" s="16"/>
      <c r="ACU787" s="16"/>
      <c r="ACV787" s="16"/>
      <c r="ACW787" s="16"/>
      <c r="ACX787" s="16"/>
      <c r="ACY787" s="16"/>
      <c r="ACZ787" s="16"/>
      <c r="ADA787" s="16"/>
      <c r="ADB787" s="16"/>
      <c r="ADC787" s="16"/>
      <c r="ADD787" s="16"/>
      <c r="ADE787" s="16"/>
      <c r="ADF787" s="16"/>
      <c r="ADG787" s="16"/>
      <c r="ADH787" s="16"/>
      <c r="ADI787" s="16"/>
      <c r="ADJ787" s="16"/>
      <c r="ADK787" s="16"/>
      <c r="ADL787" s="16"/>
      <c r="ADM787" s="16"/>
      <c r="ADN787" s="16"/>
      <c r="ADO787" s="16"/>
      <c r="ADP787" s="16"/>
      <c r="ADQ787" s="16"/>
      <c r="ADR787" s="16"/>
      <c r="ADS787" s="16"/>
      <c r="ADT787" s="16"/>
      <c r="ADU787" s="16"/>
      <c r="ADV787" s="16"/>
      <c r="ADW787" s="16"/>
      <c r="ADX787" s="16"/>
      <c r="ADY787" s="16"/>
      <c r="ADZ787" s="16"/>
      <c r="AEA787" s="16"/>
      <c r="AEB787" s="16"/>
      <c r="AEC787" s="16"/>
      <c r="AED787" s="16"/>
      <c r="AEE787" s="16"/>
      <c r="AEF787" s="16"/>
      <c r="AEG787" s="16"/>
      <c r="AEH787" s="16"/>
      <c r="AEI787" s="16"/>
      <c r="AEJ787" s="16"/>
      <c r="AEK787" s="16"/>
      <c r="AEL787" s="16"/>
      <c r="AEM787" s="16"/>
      <c r="AEN787" s="16"/>
      <c r="AEO787" s="16"/>
      <c r="AEP787" s="16"/>
      <c r="AEQ787" s="16"/>
      <c r="AER787" s="16"/>
      <c r="AES787" s="16"/>
      <c r="AET787" s="16"/>
      <c r="AEU787" s="16"/>
      <c r="AEV787" s="16"/>
      <c r="AEW787" s="16"/>
      <c r="AEX787" s="16"/>
      <c r="AEY787" s="16"/>
      <c r="AEZ787" s="16"/>
      <c r="AFA787" s="16"/>
      <c r="AFB787" s="16"/>
      <c r="AFC787" s="16"/>
      <c r="AFD787" s="16"/>
      <c r="AFE787" s="16"/>
      <c r="AFF787" s="16"/>
      <c r="AFG787" s="16"/>
      <c r="AFH787" s="16"/>
      <c r="AFI787" s="16"/>
      <c r="AFJ787" s="16"/>
      <c r="AFK787" s="16"/>
      <c r="AFL787" s="16"/>
      <c r="AFM787" s="16"/>
      <c r="AFN787" s="16"/>
      <c r="AFO787" s="16"/>
      <c r="AFP787" s="16"/>
      <c r="AFQ787" s="16"/>
      <c r="AFR787" s="16"/>
      <c r="AFS787" s="16"/>
      <c r="AFT787" s="16"/>
      <c r="AFU787" s="16"/>
      <c r="AFV787" s="16"/>
      <c r="AFW787" s="16"/>
      <c r="AFX787" s="16"/>
      <c r="AFY787" s="16"/>
      <c r="AFZ787" s="16"/>
      <c r="AGA787" s="16"/>
      <c r="AGB787" s="16"/>
      <c r="AGC787" s="16"/>
      <c r="AGD787" s="16"/>
      <c r="AGE787" s="16"/>
      <c r="AGF787" s="16"/>
      <c r="AGG787" s="16"/>
      <c r="AGH787" s="16"/>
      <c r="AGI787" s="16"/>
      <c r="AGJ787" s="16"/>
    </row>
    <row r="788" spans="1:868" hidden="1">
      <c r="A788" s="151" t="s">
        <v>397</v>
      </c>
      <c r="B788" s="34" t="s">
        <v>393</v>
      </c>
      <c r="C788" s="40" t="s">
        <v>139</v>
      </c>
      <c r="D788" s="34" t="s">
        <v>139</v>
      </c>
      <c r="E788" s="262" t="s">
        <v>150</v>
      </c>
      <c r="F788" s="232">
        <v>1</v>
      </c>
      <c r="G788" s="40"/>
      <c r="H788" s="29"/>
      <c r="I788" s="9"/>
      <c r="J788" s="9"/>
      <c r="K788" s="9"/>
      <c r="L788" s="9"/>
      <c r="M788" s="9"/>
      <c r="N788" s="185" t="str">
        <f t="shared" si="51"/>
        <v/>
      </c>
      <c r="O788" s="159" t="str">
        <f t="shared" si="52"/>
        <v/>
      </c>
      <c r="P788" s="838"/>
    </row>
    <row r="789" spans="1:868" hidden="1">
      <c r="A789" s="151" t="s">
        <v>361</v>
      </c>
      <c r="B789" s="34" t="s">
        <v>258</v>
      </c>
      <c r="C789" s="40" t="s">
        <v>139</v>
      </c>
      <c r="D789" s="34" t="s">
        <v>139</v>
      </c>
      <c r="E789" s="257">
        <v>1</v>
      </c>
      <c r="F789" s="232">
        <v>2</v>
      </c>
      <c r="G789" s="40" t="s">
        <v>157</v>
      </c>
      <c r="H789" s="29">
        <v>1</v>
      </c>
      <c r="I789" s="9">
        <v>1</v>
      </c>
      <c r="J789" s="9">
        <v>2</v>
      </c>
      <c r="K789" s="9">
        <v>4</v>
      </c>
      <c r="L789" s="9">
        <v>3</v>
      </c>
      <c r="M789" s="9">
        <v>3</v>
      </c>
      <c r="N789" s="185">
        <f t="shared" si="51"/>
        <v>1.4737512213023647</v>
      </c>
      <c r="O789" s="159">
        <f t="shared" si="52"/>
        <v>1.4737512213023647</v>
      </c>
      <c r="P789" s="63"/>
    </row>
    <row r="790" spans="1:868" hidden="1">
      <c r="A790" s="151" t="s">
        <v>121</v>
      </c>
      <c r="B790" s="34" t="s">
        <v>345</v>
      </c>
      <c r="C790" s="40" t="s">
        <v>139</v>
      </c>
      <c r="D790" s="34" t="s">
        <v>88</v>
      </c>
      <c r="E790" s="257">
        <v>0</v>
      </c>
      <c r="F790" s="232">
        <v>1</v>
      </c>
      <c r="G790" s="40"/>
      <c r="H790" s="29"/>
      <c r="I790" s="9"/>
      <c r="J790" s="9"/>
      <c r="K790" s="9"/>
      <c r="L790" s="9"/>
      <c r="M790" s="9"/>
      <c r="N790" s="185" t="str">
        <f t="shared" si="51"/>
        <v/>
      </c>
      <c r="O790" s="159" t="str">
        <f t="shared" si="52"/>
        <v/>
      </c>
      <c r="P790" s="63"/>
    </row>
    <row r="791" spans="1:868" hidden="1">
      <c r="A791" s="151" t="s">
        <v>121</v>
      </c>
      <c r="B791" s="34" t="s">
        <v>345</v>
      </c>
      <c r="C791" s="40" t="s">
        <v>139</v>
      </c>
      <c r="D791" s="34" t="s">
        <v>89</v>
      </c>
      <c r="E791" s="257">
        <v>0</v>
      </c>
      <c r="F791" s="232">
        <v>1</v>
      </c>
      <c r="G791" s="40"/>
      <c r="H791" s="29"/>
      <c r="I791" s="9"/>
      <c r="J791" s="9"/>
      <c r="K791" s="9"/>
      <c r="L791" s="9"/>
      <c r="M791" s="9"/>
      <c r="N791" s="185" t="str">
        <f t="shared" si="51"/>
        <v/>
      </c>
      <c r="O791" s="159" t="str">
        <f t="shared" si="52"/>
        <v/>
      </c>
      <c r="P791" s="63"/>
    </row>
    <row r="792" spans="1:868" s="210" customFormat="1" ht="15" hidden="1" thickBot="1">
      <c r="A792" s="151" t="s">
        <v>121</v>
      </c>
      <c r="B792" s="34" t="s">
        <v>345</v>
      </c>
      <c r="C792" s="40" t="s">
        <v>139</v>
      </c>
      <c r="D792" s="34" t="s">
        <v>90</v>
      </c>
      <c r="E792" s="257">
        <v>0</v>
      </c>
      <c r="F792" s="232">
        <v>1</v>
      </c>
      <c r="G792" s="40"/>
      <c r="H792" s="29"/>
      <c r="I792" s="9"/>
      <c r="J792" s="9"/>
      <c r="K792" s="9"/>
      <c r="L792" s="9"/>
      <c r="M792" s="9"/>
      <c r="N792" s="185" t="str">
        <f t="shared" si="51"/>
        <v/>
      </c>
      <c r="O792" s="159" t="str">
        <f t="shared" si="52"/>
        <v/>
      </c>
      <c r="P792" s="63"/>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c r="JS792" s="16"/>
      <c r="JT792" s="16"/>
      <c r="JU792" s="16"/>
      <c r="JV792" s="16"/>
      <c r="JW792" s="16"/>
      <c r="JX792" s="16"/>
      <c r="JY792" s="16"/>
      <c r="JZ792" s="16"/>
      <c r="KA792" s="16"/>
      <c r="KB792" s="16"/>
      <c r="KC792" s="16"/>
      <c r="KD792" s="16"/>
      <c r="KE792" s="16"/>
      <c r="KF792" s="16"/>
      <c r="KG792" s="16"/>
      <c r="KH792" s="16"/>
      <c r="KI792" s="16"/>
      <c r="KJ792" s="16"/>
      <c r="KK792" s="16"/>
      <c r="KL792" s="16"/>
      <c r="KM792" s="16"/>
      <c r="KN792" s="16"/>
      <c r="KO792" s="16"/>
      <c r="KP792" s="16"/>
      <c r="KQ792" s="16"/>
      <c r="KR792" s="16"/>
      <c r="KS792" s="16"/>
      <c r="KT792" s="16"/>
      <c r="KU792" s="16"/>
      <c r="KV792" s="16"/>
      <c r="KW792" s="16"/>
      <c r="KX792" s="16"/>
      <c r="KY792" s="16"/>
      <c r="KZ792" s="16"/>
      <c r="LA792" s="16"/>
      <c r="LB792" s="16"/>
      <c r="LC792" s="16"/>
      <c r="LD792" s="16"/>
      <c r="LE792" s="16"/>
      <c r="LF792" s="16"/>
      <c r="LG792" s="16"/>
      <c r="LH792" s="16"/>
      <c r="LI792" s="16"/>
      <c r="LJ792" s="16"/>
      <c r="LK792" s="16"/>
      <c r="LL792" s="16"/>
      <c r="LM792" s="16"/>
      <c r="LN792" s="16"/>
      <c r="LO792" s="16"/>
      <c r="LP792" s="16"/>
      <c r="LQ792" s="16"/>
      <c r="LR792" s="16"/>
      <c r="LS792" s="16"/>
      <c r="LT792" s="16"/>
      <c r="LU792" s="16"/>
      <c r="LV792" s="16"/>
      <c r="LW792" s="16"/>
      <c r="LX792" s="16"/>
      <c r="LY792" s="16"/>
      <c r="LZ792" s="16"/>
      <c r="MA792" s="16"/>
      <c r="MB792" s="16"/>
      <c r="MC792" s="16"/>
      <c r="MD792" s="16"/>
      <c r="ME792" s="16"/>
      <c r="MF792" s="16"/>
      <c r="MG792" s="16"/>
      <c r="MH792" s="16"/>
      <c r="MI792" s="16"/>
      <c r="MJ792" s="16"/>
      <c r="MK792" s="16"/>
      <c r="ML792" s="16"/>
      <c r="MM792" s="16"/>
      <c r="MN792" s="16"/>
      <c r="MO792" s="16"/>
      <c r="MP792" s="16"/>
      <c r="MQ792" s="16"/>
      <c r="MR792" s="16"/>
      <c r="MS792" s="16"/>
      <c r="MT792" s="16"/>
      <c r="MU792" s="16"/>
      <c r="MV792" s="16"/>
      <c r="MW792" s="16"/>
      <c r="MX792" s="16"/>
      <c r="MY792" s="16"/>
      <c r="MZ792" s="16"/>
      <c r="NA792" s="16"/>
      <c r="NB792" s="16"/>
      <c r="NC792" s="16"/>
      <c r="ND792" s="16"/>
      <c r="NE792" s="16"/>
      <c r="NF792" s="16"/>
      <c r="NG792" s="16"/>
      <c r="NH792" s="16"/>
      <c r="NI792" s="16"/>
      <c r="NJ792" s="16"/>
      <c r="NK792" s="16"/>
      <c r="NL792" s="16"/>
      <c r="NM792" s="16"/>
      <c r="NN792" s="16"/>
      <c r="NO792" s="16"/>
      <c r="NP792" s="16"/>
      <c r="NQ792" s="16"/>
      <c r="NR792" s="16"/>
      <c r="NS792" s="16"/>
      <c r="NT792" s="16"/>
      <c r="NU792" s="16"/>
      <c r="NV792" s="16"/>
      <c r="NW792" s="16"/>
      <c r="NX792" s="16"/>
      <c r="NY792" s="16"/>
      <c r="NZ792" s="16"/>
      <c r="OA792" s="16"/>
      <c r="OB792" s="16"/>
      <c r="OC792" s="16"/>
      <c r="OD792" s="16"/>
      <c r="OE792" s="16"/>
      <c r="OF792" s="16"/>
      <c r="OG792" s="16"/>
      <c r="OH792" s="16"/>
      <c r="OI792" s="16"/>
      <c r="OJ792" s="16"/>
      <c r="OK792" s="16"/>
      <c r="OL792" s="16"/>
      <c r="OM792" s="16"/>
      <c r="ON792" s="16"/>
      <c r="OO792" s="16"/>
      <c r="OP792" s="16"/>
      <c r="OQ792" s="16"/>
      <c r="OR792" s="16"/>
      <c r="OS792" s="16"/>
      <c r="OT792" s="16"/>
      <c r="OU792" s="16"/>
      <c r="OV792" s="16"/>
      <c r="OW792" s="16"/>
      <c r="OX792" s="16"/>
      <c r="OY792" s="16"/>
      <c r="OZ792" s="16"/>
      <c r="PA792" s="16"/>
      <c r="PB792" s="16"/>
      <c r="PC792" s="16"/>
      <c r="PD792" s="16"/>
      <c r="PE792" s="16"/>
      <c r="PF792" s="16"/>
      <c r="PG792" s="16"/>
      <c r="PH792" s="16"/>
      <c r="PI792" s="16"/>
      <c r="PJ792" s="16"/>
      <c r="PK792" s="16"/>
      <c r="PL792" s="16"/>
      <c r="PM792" s="16"/>
      <c r="PN792" s="16"/>
      <c r="PO792" s="16"/>
      <c r="PP792" s="16"/>
      <c r="PQ792" s="16"/>
      <c r="PR792" s="16"/>
      <c r="PS792" s="16"/>
      <c r="PT792" s="16"/>
      <c r="PU792" s="16"/>
      <c r="PV792" s="16"/>
      <c r="PW792" s="16"/>
      <c r="PX792" s="16"/>
      <c r="PY792" s="16"/>
      <c r="PZ792" s="16"/>
      <c r="QA792" s="16"/>
      <c r="QB792" s="16"/>
      <c r="QC792" s="16"/>
      <c r="QD792" s="16"/>
      <c r="QE792" s="16"/>
      <c r="QF792" s="16"/>
      <c r="QG792" s="16"/>
      <c r="QH792" s="16"/>
      <c r="QI792" s="16"/>
      <c r="QJ792" s="16"/>
      <c r="QK792" s="16"/>
      <c r="QL792" s="16"/>
      <c r="QM792" s="16"/>
      <c r="QN792" s="16"/>
      <c r="QO792" s="16"/>
      <c r="QP792" s="16"/>
      <c r="QQ792" s="16"/>
      <c r="QR792" s="16"/>
      <c r="QS792" s="16"/>
      <c r="QT792" s="16"/>
      <c r="QU792" s="16"/>
      <c r="QV792" s="16"/>
      <c r="QW792" s="16"/>
      <c r="QX792" s="16"/>
      <c r="QY792" s="16"/>
      <c r="QZ792" s="16"/>
      <c r="RA792" s="16"/>
      <c r="RB792" s="16"/>
      <c r="RC792" s="16"/>
      <c r="RD792" s="16"/>
      <c r="RE792" s="16"/>
      <c r="RF792" s="16"/>
      <c r="RG792" s="16"/>
      <c r="RH792" s="16"/>
      <c r="RI792" s="16"/>
      <c r="RJ792" s="16"/>
      <c r="RK792" s="16"/>
      <c r="RL792" s="16"/>
      <c r="RM792" s="16"/>
      <c r="RN792" s="16"/>
      <c r="RO792" s="16"/>
      <c r="RP792" s="16"/>
      <c r="RQ792" s="16"/>
      <c r="RR792" s="16"/>
      <c r="RS792" s="16"/>
      <c r="RT792" s="16"/>
      <c r="RU792" s="16"/>
      <c r="RV792" s="16"/>
      <c r="RW792" s="16"/>
      <c r="RX792" s="16"/>
      <c r="RY792" s="16"/>
      <c r="RZ792" s="16"/>
      <c r="SA792" s="16"/>
      <c r="SB792" s="16"/>
      <c r="SC792" s="16"/>
      <c r="SD792" s="16"/>
      <c r="SE792" s="16"/>
      <c r="SF792" s="16"/>
      <c r="SG792" s="16"/>
      <c r="SH792" s="16"/>
      <c r="SI792" s="16"/>
      <c r="SJ792" s="16"/>
      <c r="SK792" s="16"/>
      <c r="SL792" s="16"/>
      <c r="SM792" s="16"/>
      <c r="SN792" s="16"/>
      <c r="SO792" s="16"/>
      <c r="SP792" s="16"/>
      <c r="SQ792" s="16"/>
      <c r="SR792" s="16"/>
      <c r="SS792" s="16"/>
      <c r="ST792" s="16"/>
      <c r="SU792" s="16"/>
      <c r="SV792" s="16"/>
      <c r="SW792" s="16"/>
      <c r="SX792" s="16"/>
      <c r="SY792" s="16"/>
      <c r="SZ792" s="16"/>
      <c r="TA792" s="16"/>
      <c r="TB792" s="16"/>
      <c r="TC792" s="16"/>
      <c r="TD792" s="16"/>
      <c r="TE792" s="16"/>
      <c r="TF792" s="16"/>
      <c r="TG792" s="16"/>
      <c r="TH792" s="16"/>
      <c r="TI792" s="16"/>
      <c r="TJ792" s="16"/>
      <c r="TK792" s="16"/>
      <c r="TL792" s="16"/>
      <c r="TM792" s="16"/>
      <c r="TN792" s="16"/>
      <c r="TO792" s="16"/>
      <c r="TP792" s="16"/>
      <c r="TQ792" s="16"/>
      <c r="TR792" s="16"/>
      <c r="TS792" s="16"/>
      <c r="TT792" s="16"/>
      <c r="TU792" s="16"/>
      <c r="TV792" s="16"/>
      <c r="TW792" s="16"/>
      <c r="TX792" s="16"/>
      <c r="TY792" s="16"/>
      <c r="TZ792" s="16"/>
      <c r="UA792" s="16"/>
      <c r="UB792" s="16"/>
      <c r="UC792" s="16"/>
      <c r="UD792" s="16"/>
      <c r="UE792" s="16"/>
      <c r="UF792" s="16"/>
      <c r="UG792" s="16"/>
      <c r="UH792" s="16"/>
      <c r="UI792" s="16"/>
      <c r="UJ792" s="16"/>
      <c r="UK792" s="16"/>
      <c r="UL792" s="16"/>
      <c r="UM792" s="16"/>
      <c r="UN792" s="16"/>
      <c r="UO792" s="16"/>
      <c r="UP792" s="16"/>
      <c r="UQ792" s="16"/>
      <c r="UR792" s="16"/>
      <c r="US792" s="16"/>
      <c r="UT792" s="16"/>
      <c r="UU792" s="16"/>
      <c r="UV792" s="16"/>
      <c r="UW792" s="16"/>
      <c r="UX792" s="16"/>
      <c r="UY792" s="16"/>
      <c r="UZ792" s="16"/>
      <c r="VA792" s="16"/>
      <c r="VB792" s="16"/>
      <c r="VC792" s="16"/>
      <c r="VD792" s="16"/>
      <c r="VE792" s="16"/>
      <c r="VF792" s="16"/>
      <c r="VG792" s="16"/>
      <c r="VH792" s="16"/>
      <c r="VI792" s="16"/>
      <c r="VJ792" s="16"/>
      <c r="VK792" s="16"/>
      <c r="VL792" s="16"/>
      <c r="VM792" s="16"/>
      <c r="VN792" s="16"/>
      <c r="VO792" s="16"/>
      <c r="VP792" s="16"/>
      <c r="VQ792" s="16"/>
      <c r="VR792" s="16"/>
      <c r="VS792" s="16"/>
      <c r="VT792" s="16"/>
      <c r="VU792" s="16"/>
      <c r="VV792" s="16"/>
      <c r="VW792" s="16"/>
      <c r="VX792" s="16"/>
      <c r="VY792" s="16"/>
      <c r="VZ792" s="16"/>
      <c r="WA792" s="16"/>
      <c r="WB792" s="16"/>
      <c r="WC792" s="16"/>
      <c r="WD792" s="16"/>
      <c r="WE792" s="16"/>
      <c r="WF792" s="16"/>
      <c r="WG792" s="16"/>
      <c r="WH792" s="16"/>
      <c r="WI792" s="16"/>
      <c r="WJ792" s="16"/>
      <c r="WK792" s="16"/>
      <c r="WL792" s="16"/>
      <c r="WM792" s="16"/>
      <c r="WN792" s="16"/>
      <c r="WO792" s="16"/>
      <c r="WP792" s="16"/>
      <c r="WQ792" s="16"/>
      <c r="WR792" s="16"/>
      <c r="WS792" s="16"/>
      <c r="WT792" s="16"/>
      <c r="WU792" s="16"/>
      <c r="WV792" s="16"/>
      <c r="WW792" s="16"/>
      <c r="WX792" s="16"/>
      <c r="WY792" s="16"/>
      <c r="WZ792" s="16"/>
      <c r="XA792" s="16"/>
      <c r="XB792" s="16"/>
      <c r="XC792" s="16"/>
      <c r="XD792" s="16"/>
      <c r="XE792" s="16"/>
      <c r="XF792" s="16"/>
      <c r="XG792" s="16"/>
      <c r="XH792" s="16"/>
      <c r="XI792" s="16"/>
      <c r="XJ792" s="16"/>
      <c r="XK792" s="16"/>
      <c r="XL792" s="16"/>
      <c r="XM792" s="16"/>
      <c r="XN792" s="16"/>
      <c r="XO792" s="16"/>
      <c r="XP792" s="16"/>
      <c r="XQ792" s="16"/>
      <c r="XR792" s="16"/>
      <c r="XS792" s="16"/>
      <c r="XT792" s="16"/>
      <c r="XU792" s="16"/>
      <c r="XV792" s="16"/>
      <c r="XW792" s="16"/>
      <c r="XX792" s="16"/>
      <c r="XY792" s="16"/>
      <c r="XZ792" s="16"/>
      <c r="YA792" s="16"/>
      <c r="YB792" s="16"/>
      <c r="YC792" s="16"/>
      <c r="YD792" s="16"/>
      <c r="YE792" s="16"/>
      <c r="YF792" s="16"/>
      <c r="YG792" s="16"/>
      <c r="YH792" s="16"/>
      <c r="YI792" s="16"/>
      <c r="YJ792" s="16"/>
      <c r="YK792" s="16"/>
      <c r="YL792" s="16"/>
      <c r="YM792" s="16"/>
      <c r="YN792" s="16"/>
      <c r="YO792" s="16"/>
      <c r="YP792" s="16"/>
      <c r="YQ792" s="16"/>
      <c r="YR792" s="16"/>
      <c r="YS792" s="16"/>
      <c r="YT792" s="16"/>
      <c r="YU792" s="16"/>
      <c r="YV792" s="16"/>
      <c r="YW792" s="16"/>
      <c r="YX792" s="16"/>
      <c r="YY792" s="16"/>
      <c r="YZ792" s="16"/>
      <c r="ZA792" s="16"/>
      <c r="ZB792" s="16"/>
      <c r="ZC792" s="16"/>
      <c r="ZD792" s="16"/>
      <c r="ZE792" s="16"/>
      <c r="ZF792" s="16"/>
      <c r="ZG792" s="16"/>
      <c r="ZH792" s="16"/>
      <c r="ZI792" s="16"/>
      <c r="ZJ792" s="16"/>
      <c r="ZK792" s="16"/>
      <c r="ZL792" s="16"/>
      <c r="ZM792" s="16"/>
      <c r="ZN792" s="16"/>
      <c r="ZO792" s="16"/>
      <c r="ZP792" s="16"/>
      <c r="ZQ792" s="16"/>
      <c r="ZR792" s="16"/>
      <c r="ZS792" s="16"/>
      <c r="ZT792" s="16"/>
      <c r="ZU792" s="16"/>
      <c r="ZV792" s="16"/>
      <c r="ZW792" s="16"/>
      <c r="ZX792" s="16"/>
      <c r="ZY792" s="16"/>
      <c r="ZZ792" s="16"/>
      <c r="AAA792" s="16"/>
      <c r="AAB792" s="16"/>
      <c r="AAC792" s="16"/>
      <c r="AAD792" s="16"/>
      <c r="AAE792" s="16"/>
      <c r="AAF792" s="16"/>
      <c r="AAG792" s="16"/>
      <c r="AAH792" s="16"/>
      <c r="AAI792" s="16"/>
      <c r="AAJ792" s="16"/>
      <c r="AAK792" s="16"/>
      <c r="AAL792" s="16"/>
      <c r="AAM792" s="16"/>
      <c r="AAN792" s="16"/>
      <c r="AAO792" s="16"/>
      <c r="AAP792" s="16"/>
      <c r="AAQ792" s="16"/>
      <c r="AAR792" s="16"/>
      <c r="AAS792" s="16"/>
      <c r="AAT792" s="16"/>
      <c r="AAU792" s="16"/>
      <c r="AAV792" s="16"/>
      <c r="AAW792" s="16"/>
      <c r="AAX792" s="16"/>
      <c r="AAY792" s="16"/>
      <c r="AAZ792" s="16"/>
      <c r="ABA792" s="16"/>
      <c r="ABB792" s="16"/>
      <c r="ABC792" s="16"/>
      <c r="ABD792" s="16"/>
      <c r="ABE792" s="16"/>
      <c r="ABF792" s="16"/>
      <c r="ABG792" s="16"/>
      <c r="ABH792" s="16"/>
      <c r="ABI792" s="16"/>
      <c r="ABJ792" s="16"/>
      <c r="ABK792" s="16"/>
      <c r="ABL792" s="16"/>
      <c r="ABM792" s="16"/>
      <c r="ABN792" s="16"/>
      <c r="ABO792" s="16"/>
      <c r="ABP792" s="16"/>
      <c r="ABQ792" s="16"/>
      <c r="ABR792" s="16"/>
      <c r="ABS792" s="16"/>
      <c r="ABT792" s="16"/>
      <c r="ABU792" s="16"/>
      <c r="ABV792" s="16"/>
      <c r="ABW792" s="16"/>
      <c r="ABX792" s="16"/>
      <c r="ABY792" s="16"/>
      <c r="ABZ792" s="16"/>
      <c r="ACA792" s="16"/>
      <c r="ACB792" s="16"/>
      <c r="ACC792" s="16"/>
      <c r="ACD792" s="16"/>
      <c r="ACE792" s="16"/>
      <c r="ACF792" s="16"/>
      <c r="ACG792" s="16"/>
      <c r="ACH792" s="16"/>
      <c r="ACI792" s="16"/>
      <c r="ACJ792" s="16"/>
      <c r="ACK792" s="16"/>
      <c r="ACL792" s="16"/>
      <c r="ACM792" s="16"/>
      <c r="ACN792" s="16"/>
      <c r="ACO792" s="16"/>
      <c r="ACP792" s="16"/>
      <c r="ACQ792" s="16"/>
      <c r="ACR792" s="16"/>
      <c r="ACS792" s="16"/>
      <c r="ACT792" s="16"/>
      <c r="ACU792" s="16"/>
      <c r="ACV792" s="16"/>
      <c r="ACW792" s="16"/>
      <c r="ACX792" s="16"/>
      <c r="ACY792" s="16"/>
      <c r="ACZ792" s="16"/>
      <c r="ADA792" s="16"/>
      <c r="ADB792" s="16"/>
      <c r="ADC792" s="16"/>
      <c r="ADD792" s="16"/>
      <c r="ADE792" s="16"/>
      <c r="ADF792" s="16"/>
      <c r="ADG792" s="16"/>
      <c r="ADH792" s="16"/>
      <c r="ADI792" s="16"/>
      <c r="ADJ792" s="16"/>
      <c r="ADK792" s="16"/>
      <c r="ADL792" s="16"/>
      <c r="ADM792" s="16"/>
      <c r="ADN792" s="16"/>
      <c r="ADO792" s="16"/>
      <c r="ADP792" s="16"/>
      <c r="ADQ792" s="16"/>
      <c r="ADR792" s="16"/>
      <c r="ADS792" s="16"/>
      <c r="ADT792" s="16"/>
      <c r="ADU792" s="16"/>
      <c r="ADV792" s="16"/>
      <c r="ADW792" s="16"/>
      <c r="ADX792" s="16"/>
      <c r="ADY792" s="16"/>
      <c r="ADZ792" s="16"/>
      <c r="AEA792" s="16"/>
      <c r="AEB792" s="16"/>
      <c r="AEC792" s="16"/>
      <c r="AED792" s="16"/>
      <c r="AEE792" s="16"/>
      <c r="AEF792" s="16"/>
      <c r="AEG792" s="16"/>
      <c r="AEH792" s="16"/>
      <c r="AEI792" s="16"/>
      <c r="AEJ792" s="16"/>
      <c r="AEK792" s="16"/>
      <c r="AEL792" s="16"/>
      <c r="AEM792" s="16"/>
      <c r="AEN792" s="16"/>
      <c r="AEO792" s="16"/>
      <c r="AEP792" s="16"/>
      <c r="AEQ792" s="16"/>
      <c r="AER792" s="16"/>
      <c r="AES792" s="16"/>
      <c r="AET792" s="16"/>
      <c r="AEU792" s="16"/>
      <c r="AEV792" s="16"/>
      <c r="AEW792" s="16"/>
      <c r="AEX792" s="16"/>
      <c r="AEY792" s="16"/>
      <c r="AEZ792" s="16"/>
      <c r="AFA792" s="16"/>
      <c r="AFB792" s="16"/>
      <c r="AFC792" s="16"/>
      <c r="AFD792" s="16"/>
      <c r="AFE792" s="16"/>
      <c r="AFF792" s="16"/>
      <c r="AFG792" s="16"/>
      <c r="AFH792" s="16"/>
      <c r="AFI792" s="16"/>
      <c r="AFJ792" s="16"/>
      <c r="AFK792" s="16"/>
      <c r="AFL792" s="16"/>
      <c r="AFM792" s="16"/>
      <c r="AFN792" s="16"/>
      <c r="AFO792" s="16"/>
      <c r="AFP792" s="16"/>
      <c r="AFQ792" s="16"/>
      <c r="AFR792" s="16"/>
      <c r="AFS792" s="16"/>
      <c r="AFT792" s="16"/>
      <c r="AFU792" s="16"/>
      <c r="AFV792" s="16"/>
      <c r="AFW792" s="16"/>
      <c r="AFX792" s="16"/>
      <c r="AFY792" s="16"/>
      <c r="AFZ792" s="16"/>
      <c r="AGA792" s="16"/>
      <c r="AGB792" s="16"/>
      <c r="AGC792" s="16"/>
      <c r="AGD792" s="16"/>
      <c r="AGE792" s="16"/>
      <c r="AGF792" s="16"/>
      <c r="AGG792" s="16"/>
      <c r="AGH792" s="16"/>
      <c r="AGI792" s="16"/>
      <c r="AGJ792" s="16"/>
    </row>
    <row r="793" spans="1:868" s="833" customFormat="1" hidden="1">
      <c r="A793" s="151" t="s">
        <v>121</v>
      </c>
      <c r="B793" s="34" t="s">
        <v>345</v>
      </c>
      <c r="C793" s="40" t="s">
        <v>139</v>
      </c>
      <c r="D793" s="34" t="s">
        <v>91</v>
      </c>
      <c r="E793" s="257">
        <v>0.15963616327826599</v>
      </c>
      <c r="F793" s="232">
        <v>1</v>
      </c>
      <c r="G793" s="40"/>
      <c r="H793" s="29">
        <v>2</v>
      </c>
      <c r="I793" s="9">
        <v>2</v>
      </c>
      <c r="J793" s="9">
        <v>2</v>
      </c>
      <c r="K793" s="9">
        <v>2</v>
      </c>
      <c r="L793" s="9">
        <v>1</v>
      </c>
      <c r="M793" s="9">
        <v>2</v>
      </c>
      <c r="N793" s="185">
        <f t="shared" si="51"/>
        <v>0.38795788889711302</v>
      </c>
      <c r="O793" s="159">
        <f t="shared" si="52"/>
        <v>0.38795788889711302</v>
      </c>
      <c r="P793" s="63"/>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c r="JS793" s="16"/>
      <c r="JT793" s="16"/>
      <c r="JU793" s="16"/>
      <c r="JV793" s="16"/>
      <c r="JW793" s="16"/>
      <c r="JX793" s="16"/>
      <c r="JY793" s="16"/>
      <c r="JZ793" s="16"/>
      <c r="KA793" s="16"/>
      <c r="KB793" s="16"/>
      <c r="KC793" s="16"/>
      <c r="KD793" s="16"/>
      <c r="KE793" s="16"/>
      <c r="KF793" s="16"/>
      <c r="KG793" s="16"/>
      <c r="KH793" s="16"/>
      <c r="KI793" s="16"/>
      <c r="KJ793" s="16"/>
      <c r="KK793" s="16"/>
      <c r="KL793" s="16"/>
      <c r="KM793" s="16"/>
      <c r="KN793" s="16"/>
      <c r="KO793" s="16"/>
      <c r="KP793" s="16"/>
      <c r="KQ793" s="16"/>
      <c r="KR793" s="16"/>
      <c r="KS793" s="16"/>
      <c r="KT793" s="16"/>
      <c r="KU793" s="16"/>
      <c r="KV793" s="16"/>
      <c r="KW793" s="16"/>
      <c r="KX793" s="16"/>
      <c r="KY793" s="16"/>
      <c r="KZ793" s="16"/>
      <c r="LA793" s="16"/>
      <c r="LB793" s="16"/>
      <c r="LC793" s="16"/>
      <c r="LD793" s="16"/>
      <c r="LE793" s="16"/>
      <c r="LF793" s="16"/>
      <c r="LG793" s="16"/>
      <c r="LH793" s="16"/>
      <c r="LI793" s="16"/>
      <c r="LJ793" s="16"/>
      <c r="LK793" s="16"/>
      <c r="LL793" s="16"/>
      <c r="LM793" s="16"/>
      <c r="LN793" s="16"/>
      <c r="LO793" s="16"/>
      <c r="LP793" s="16"/>
      <c r="LQ793" s="16"/>
      <c r="LR793" s="16"/>
      <c r="LS793" s="16"/>
      <c r="LT793" s="16"/>
      <c r="LU793" s="16"/>
      <c r="LV793" s="16"/>
      <c r="LW793" s="16"/>
      <c r="LX793" s="16"/>
      <c r="LY793" s="16"/>
      <c r="LZ793" s="16"/>
      <c r="MA793" s="16"/>
      <c r="MB793" s="16"/>
      <c r="MC793" s="16"/>
      <c r="MD793" s="16"/>
      <c r="ME793" s="16"/>
      <c r="MF793" s="16"/>
      <c r="MG793" s="16"/>
      <c r="MH793" s="16"/>
      <c r="MI793" s="16"/>
      <c r="MJ793" s="16"/>
      <c r="MK793" s="16"/>
      <c r="ML793" s="16"/>
      <c r="MM793" s="16"/>
      <c r="MN793" s="16"/>
      <c r="MO793" s="16"/>
      <c r="MP793" s="16"/>
      <c r="MQ793" s="16"/>
      <c r="MR793" s="16"/>
      <c r="MS793" s="16"/>
      <c r="MT793" s="16"/>
      <c r="MU793" s="16"/>
      <c r="MV793" s="16"/>
      <c r="MW793" s="16"/>
      <c r="MX793" s="16"/>
      <c r="MY793" s="16"/>
      <c r="MZ793" s="16"/>
      <c r="NA793" s="16"/>
      <c r="NB793" s="16"/>
      <c r="NC793" s="16"/>
      <c r="ND793" s="16"/>
      <c r="NE793" s="16"/>
      <c r="NF793" s="16"/>
      <c r="NG793" s="16"/>
      <c r="NH793" s="16"/>
      <c r="NI793" s="16"/>
      <c r="NJ793" s="16"/>
      <c r="NK793" s="16"/>
      <c r="NL793" s="16"/>
      <c r="NM793" s="16"/>
      <c r="NN793" s="16"/>
      <c r="NO793" s="16"/>
      <c r="NP793" s="16"/>
      <c r="NQ793" s="16"/>
      <c r="NR793" s="16"/>
      <c r="NS793" s="16"/>
      <c r="NT793" s="16"/>
      <c r="NU793" s="16"/>
      <c r="NV793" s="16"/>
      <c r="NW793" s="16"/>
      <c r="NX793" s="16"/>
      <c r="NY793" s="16"/>
      <c r="NZ793" s="16"/>
      <c r="OA793" s="16"/>
      <c r="OB793" s="16"/>
      <c r="OC793" s="16"/>
      <c r="OD793" s="16"/>
      <c r="OE793" s="16"/>
      <c r="OF793" s="16"/>
      <c r="OG793" s="16"/>
      <c r="OH793" s="16"/>
      <c r="OI793" s="16"/>
      <c r="OJ793" s="16"/>
      <c r="OK793" s="16"/>
      <c r="OL793" s="16"/>
      <c r="OM793" s="16"/>
      <c r="ON793" s="16"/>
      <c r="OO793" s="16"/>
      <c r="OP793" s="16"/>
      <c r="OQ793" s="16"/>
      <c r="OR793" s="16"/>
      <c r="OS793" s="16"/>
      <c r="OT793" s="16"/>
      <c r="OU793" s="16"/>
      <c r="OV793" s="16"/>
      <c r="OW793" s="16"/>
      <c r="OX793" s="16"/>
      <c r="OY793" s="16"/>
      <c r="OZ793" s="16"/>
      <c r="PA793" s="16"/>
      <c r="PB793" s="16"/>
      <c r="PC793" s="16"/>
      <c r="PD793" s="16"/>
      <c r="PE793" s="16"/>
      <c r="PF793" s="16"/>
      <c r="PG793" s="16"/>
      <c r="PH793" s="16"/>
      <c r="PI793" s="16"/>
      <c r="PJ793" s="16"/>
      <c r="PK793" s="16"/>
      <c r="PL793" s="16"/>
      <c r="PM793" s="16"/>
      <c r="PN793" s="16"/>
      <c r="PO793" s="16"/>
      <c r="PP793" s="16"/>
      <c r="PQ793" s="16"/>
      <c r="PR793" s="16"/>
      <c r="PS793" s="16"/>
      <c r="PT793" s="16"/>
      <c r="PU793" s="16"/>
      <c r="PV793" s="16"/>
      <c r="PW793" s="16"/>
      <c r="PX793" s="16"/>
      <c r="PY793" s="16"/>
      <c r="PZ793" s="16"/>
      <c r="QA793" s="16"/>
      <c r="QB793" s="16"/>
      <c r="QC793" s="16"/>
      <c r="QD793" s="16"/>
      <c r="QE793" s="16"/>
      <c r="QF793" s="16"/>
      <c r="QG793" s="16"/>
      <c r="QH793" s="16"/>
      <c r="QI793" s="16"/>
      <c r="QJ793" s="16"/>
      <c r="QK793" s="16"/>
      <c r="QL793" s="16"/>
      <c r="QM793" s="16"/>
      <c r="QN793" s="16"/>
      <c r="QO793" s="16"/>
      <c r="QP793" s="16"/>
      <c r="QQ793" s="16"/>
      <c r="QR793" s="16"/>
      <c r="QS793" s="16"/>
      <c r="QT793" s="16"/>
      <c r="QU793" s="16"/>
      <c r="QV793" s="16"/>
      <c r="QW793" s="16"/>
      <c r="QX793" s="16"/>
      <c r="QY793" s="16"/>
      <c r="QZ793" s="16"/>
      <c r="RA793" s="16"/>
      <c r="RB793" s="16"/>
      <c r="RC793" s="16"/>
      <c r="RD793" s="16"/>
      <c r="RE793" s="16"/>
      <c r="RF793" s="16"/>
      <c r="RG793" s="16"/>
      <c r="RH793" s="16"/>
      <c r="RI793" s="16"/>
      <c r="RJ793" s="16"/>
      <c r="RK793" s="16"/>
      <c r="RL793" s="16"/>
      <c r="RM793" s="16"/>
      <c r="RN793" s="16"/>
      <c r="RO793" s="16"/>
      <c r="RP793" s="16"/>
      <c r="RQ793" s="16"/>
      <c r="RR793" s="16"/>
      <c r="RS793" s="16"/>
      <c r="RT793" s="16"/>
      <c r="RU793" s="16"/>
      <c r="RV793" s="16"/>
      <c r="RW793" s="16"/>
      <c r="RX793" s="16"/>
      <c r="RY793" s="16"/>
      <c r="RZ793" s="16"/>
      <c r="SA793" s="16"/>
      <c r="SB793" s="16"/>
      <c r="SC793" s="16"/>
      <c r="SD793" s="16"/>
      <c r="SE793" s="16"/>
      <c r="SF793" s="16"/>
      <c r="SG793" s="16"/>
      <c r="SH793" s="16"/>
      <c r="SI793" s="16"/>
      <c r="SJ793" s="16"/>
      <c r="SK793" s="16"/>
      <c r="SL793" s="16"/>
      <c r="SM793" s="16"/>
      <c r="SN793" s="16"/>
      <c r="SO793" s="16"/>
      <c r="SP793" s="16"/>
      <c r="SQ793" s="16"/>
      <c r="SR793" s="16"/>
      <c r="SS793" s="16"/>
      <c r="ST793" s="16"/>
      <c r="SU793" s="16"/>
      <c r="SV793" s="16"/>
      <c r="SW793" s="16"/>
      <c r="SX793" s="16"/>
      <c r="SY793" s="16"/>
      <c r="SZ793" s="16"/>
      <c r="TA793" s="16"/>
      <c r="TB793" s="16"/>
      <c r="TC793" s="16"/>
      <c r="TD793" s="16"/>
      <c r="TE793" s="16"/>
      <c r="TF793" s="16"/>
      <c r="TG793" s="16"/>
      <c r="TH793" s="16"/>
      <c r="TI793" s="16"/>
      <c r="TJ793" s="16"/>
      <c r="TK793" s="16"/>
      <c r="TL793" s="16"/>
      <c r="TM793" s="16"/>
      <c r="TN793" s="16"/>
      <c r="TO793" s="16"/>
      <c r="TP793" s="16"/>
      <c r="TQ793" s="16"/>
      <c r="TR793" s="16"/>
      <c r="TS793" s="16"/>
      <c r="TT793" s="16"/>
      <c r="TU793" s="16"/>
      <c r="TV793" s="16"/>
      <c r="TW793" s="16"/>
      <c r="TX793" s="16"/>
      <c r="TY793" s="16"/>
      <c r="TZ793" s="16"/>
      <c r="UA793" s="16"/>
      <c r="UB793" s="16"/>
      <c r="UC793" s="16"/>
      <c r="UD793" s="16"/>
      <c r="UE793" s="16"/>
      <c r="UF793" s="16"/>
      <c r="UG793" s="16"/>
      <c r="UH793" s="16"/>
      <c r="UI793" s="16"/>
      <c r="UJ793" s="16"/>
      <c r="UK793" s="16"/>
      <c r="UL793" s="16"/>
      <c r="UM793" s="16"/>
      <c r="UN793" s="16"/>
      <c r="UO793" s="16"/>
      <c r="UP793" s="16"/>
      <c r="UQ793" s="16"/>
      <c r="UR793" s="16"/>
      <c r="US793" s="16"/>
      <c r="UT793" s="16"/>
      <c r="UU793" s="16"/>
      <c r="UV793" s="16"/>
      <c r="UW793" s="16"/>
      <c r="UX793" s="16"/>
      <c r="UY793" s="16"/>
      <c r="UZ793" s="16"/>
      <c r="VA793" s="16"/>
      <c r="VB793" s="16"/>
      <c r="VC793" s="16"/>
      <c r="VD793" s="16"/>
      <c r="VE793" s="16"/>
      <c r="VF793" s="16"/>
      <c r="VG793" s="16"/>
      <c r="VH793" s="16"/>
      <c r="VI793" s="16"/>
      <c r="VJ793" s="16"/>
      <c r="VK793" s="16"/>
      <c r="VL793" s="16"/>
      <c r="VM793" s="16"/>
      <c r="VN793" s="16"/>
      <c r="VO793" s="16"/>
      <c r="VP793" s="16"/>
      <c r="VQ793" s="16"/>
      <c r="VR793" s="16"/>
      <c r="VS793" s="16"/>
      <c r="VT793" s="16"/>
      <c r="VU793" s="16"/>
      <c r="VV793" s="16"/>
      <c r="VW793" s="16"/>
      <c r="VX793" s="16"/>
      <c r="VY793" s="16"/>
      <c r="VZ793" s="16"/>
      <c r="WA793" s="16"/>
      <c r="WB793" s="16"/>
      <c r="WC793" s="16"/>
      <c r="WD793" s="16"/>
      <c r="WE793" s="16"/>
      <c r="WF793" s="16"/>
      <c r="WG793" s="16"/>
      <c r="WH793" s="16"/>
      <c r="WI793" s="16"/>
      <c r="WJ793" s="16"/>
      <c r="WK793" s="16"/>
      <c r="WL793" s="16"/>
      <c r="WM793" s="16"/>
      <c r="WN793" s="16"/>
      <c r="WO793" s="16"/>
      <c r="WP793" s="16"/>
      <c r="WQ793" s="16"/>
      <c r="WR793" s="16"/>
      <c r="WS793" s="16"/>
      <c r="WT793" s="16"/>
      <c r="WU793" s="16"/>
      <c r="WV793" s="16"/>
      <c r="WW793" s="16"/>
      <c r="WX793" s="16"/>
      <c r="WY793" s="16"/>
      <c r="WZ793" s="16"/>
      <c r="XA793" s="16"/>
      <c r="XB793" s="16"/>
      <c r="XC793" s="16"/>
      <c r="XD793" s="16"/>
      <c r="XE793" s="16"/>
      <c r="XF793" s="16"/>
      <c r="XG793" s="16"/>
      <c r="XH793" s="16"/>
      <c r="XI793" s="16"/>
      <c r="XJ793" s="16"/>
      <c r="XK793" s="16"/>
      <c r="XL793" s="16"/>
      <c r="XM793" s="16"/>
      <c r="XN793" s="16"/>
      <c r="XO793" s="16"/>
      <c r="XP793" s="16"/>
      <c r="XQ793" s="16"/>
      <c r="XR793" s="16"/>
      <c r="XS793" s="16"/>
      <c r="XT793" s="16"/>
      <c r="XU793" s="16"/>
      <c r="XV793" s="16"/>
      <c r="XW793" s="16"/>
      <c r="XX793" s="16"/>
      <c r="XY793" s="16"/>
      <c r="XZ793" s="16"/>
      <c r="YA793" s="16"/>
      <c r="YB793" s="16"/>
      <c r="YC793" s="16"/>
      <c r="YD793" s="16"/>
      <c r="YE793" s="16"/>
      <c r="YF793" s="16"/>
      <c r="YG793" s="16"/>
      <c r="YH793" s="16"/>
      <c r="YI793" s="16"/>
      <c r="YJ793" s="16"/>
      <c r="YK793" s="16"/>
      <c r="YL793" s="16"/>
      <c r="YM793" s="16"/>
      <c r="YN793" s="16"/>
      <c r="YO793" s="16"/>
      <c r="YP793" s="16"/>
      <c r="YQ793" s="16"/>
      <c r="YR793" s="16"/>
      <c r="YS793" s="16"/>
      <c r="YT793" s="16"/>
      <c r="YU793" s="16"/>
      <c r="YV793" s="16"/>
      <c r="YW793" s="16"/>
      <c r="YX793" s="16"/>
      <c r="YY793" s="16"/>
      <c r="YZ793" s="16"/>
      <c r="ZA793" s="16"/>
      <c r="ZB793" s="16"/>
      <c r="ZC793" s="16"/>
      <c r="ZD793" s="16"/>
      <c r="ZE793" s="16"/>
      <c r="ZF793" s="16"/>
      <c r="ZG793" s="16"/>
      <c r="ZH793" s="16"/>
      <c r="ZI793" s="16"/>
      <c r="ZJ793" s="16"/>
      <c r="ZK793" s="16"/>
      <c r="ZL793" s="16"/>
      <c r="ZM793" s="16"/>
      <c r="ZN793" s="16"/>
      <c r="ZO793" s="16"/>
      <c r="ZP793" s="16"/>
      <c r="ZQ793" s="16"/>
      <c r="ZR793" s="16"/>
      <c r="ZS793" s="16"/>
      <c r="ZT793" s="16"/>
      <c r="ZU793" s="16"/>
      <c r="ZV793" s="16"/>
      <c r="ZW793" s="16"/>
      <c r="ZX793" s="16"/>
      <c r="ZY793" s="16"/>
      <c r="ZZ793" s="16"/>
      <c r="AAA793" s="16"/>
      <c r="AAB793" s="16"/>
      <c r="AAC793" s="16"/>
      <c r="AAD793" s="16"/>
      <c r="AAE793" s="16"/>
      <c r="AAF793" s="16"/>
      <c r="AAG793" s="16"/>
      <c r="AAH793" s="16"/>
      <c r="AAI793" s="16"/>
      <c r="AAJ793" s="16"/>
      <c r="AAK793" s="16"/>
      <c r="AAL793" s="16"/>
      <c r="AAM793" s="16"/>
      <c r="AAN793" s="16"/>
      <c r="AAO793" s="16"/>
      <c r="AAP793" s="16"/>
      <c r="AAQ793" s="16"/>
      <c r="AAR793" s="16"/>
      <c r="AAS793" s="16"/>
      <c r="AAT793" s="16"/>
      <c r="AAU793" s="16"/>
      <c r="AAV793" s="16"/>
      <c r="AAW793" s="16"/>
      <c r="AAX793" s="16"/>
      <c r="AAY793" s="16"/>
      <c r="AAZ793" s="16"/>
      <c r="ABA793" s="16"/>
      <c r="ABB793" s="16"/>
      <c r="ABC793" s="16"/>
      <c r="ABD793" s="16"/>
      <c r="ABE793" s="16"/>
      <c r="ABF793" s="16"/>
      <c r="ABG793" s="16"/>
      <c r="ABH793" s="16"/>
      <c r="ABI793" s="16"/>
      <c r="ABJ793" s="16"/>
      <c r="ABK793" s="16"/>
      <c r="ABL793" s="16"/>
      <c r="ABM793" s="16"/>
      <c r="ABN793" s="16"/>
      <c r="ABO793" s="16"/>
      <c r="ABP793" s="16"/>
      <c r="ABQ793" s="16"/>
      <c r="ABR793" s="16"/>
      <c r="ABS793" s="16"/>
      <c r="ABT793" s="16"/>
      <c r="ABU793" s="16"/>
      <c r="ABV793" s="16"/>
      <c r="ABW793" s="16"/>
      <c r="ABX793" s="16"/>
      <c r="ABY793" s="16"/>
      <c r="ABZ793" s="16"/>
      <c r="ACA793" s="16"/>
      <c r="ACB793" s="16"/>
      <c r="ACC793" s="16"/>
      <c r="ACD793" s="16"/>
      <c r="ACE793" s="16"/>
      <c r="ACF793" s="16"/>
      <c r="ACG793" s="16"/>
      <c r="ACH793" s="16"/>
      <c r="ACI793" s="16"/>
      <c r="ACJ793" s="16"/>
      <c r="ACK793" s="16"/>
      <c r="ACL793" s="16"/>
      <c r="ACM793" s="16"/>
      <c r="ACN793" s="16"/>
      <c r="ACO793" s="16"/>
      <c r="ACP793" s="16"/>
      <c r="ACQ793" s="16"/>
      <c r="ACR793" s="16"/>
      <c r="ACS793" s="16"/>
      <c r="ACT793" s="16"/>
      <c r="ACU793" s="16"/>
      <c r="ACV793" s="16"/>
      <c r="ACW793" s="16"/>
      <c r="ACX793" s="16"/>
      <c r="ACY793" s="16"/>
      <c r="ACZ793" s="16"/>
      <c r="ADA793" s="16"/>
      <c r="ADB793" s="16"/>
      <c r="ADC793" s="16"/>
      <c r="ADD793" s="16"/>
      <c r="ADE793" s="16"/>
      <c r="ADF793" s="16"/>
      <c r="ADG793" s="16"/>
      <c r="ADH793" s="16"/>
      <c r="ADI793" s="16"/>
      <c r="ADJ793" s="16"/>
      <c r="ADK793" s="16"/>
      <c r="ADL793" s="16"/>
      <c r="ADM793" s="16"/>
      <c r="ADN793" s="16"/>
      <c r="ADO793" s="16"/>
      <c r="ADP793" s="16"/>
      <c r="ADQ793" s="16"/>
      <c r="ADR793" s="16"/>
      <c r="ADS793" s="16"/>
      <c r="ADT793" s="16"/>
      <c r="ADU793" s="16"/>
      <c r="ADV793" s="16"/>
      <c r="ADW793" s="16"/>
      <c r="ADX793" s="16"/>
      <c r="ADY793" s="16"/>
      <c r="ADZ793" s="16"/>
      <c r="AEA793" s="16"/>
      <c r="AEB793" s="16"/>
      <c r="AEC793" s="16"/>
      <c r="AED793" s="16"/>
      <c r="AEE793" s="16"/>
      <c r="AEF793" s="16"/>
      <c r="AEG793" s="16"/>
      <c r="AEH793" s="16"/>
      <c r="AEI793" s="16"/>
      <c r="AEJ793" s="16"/>
      <c r="AEK793" s="16"/>
      <c r="AEL793" s="16"/>
      <c r="AEM793" s="16"/>
      <c r="AEN793" s="16"/>
      <c r="AEO793" s="16"/>
      <c r="AEP793" s="16"/>
      <c r="AEQ793" s="16"/>
      <c r="AER793" s="16"/>
      <c r="AES793" s="16"/>
      <c r="AET793" s="16"/>
      <c r="AEU793" s="16"/>
      <c r="AEV793" s="16"/>
      <c r="AEW793" s="16"/>
      <c r="AEX793" s="16"/>
      <c r="AEY793" s="16"/>
      <c r="AEZ793" s="16"/>
      <c r="AFA793" s="16"/>
      <c r="AFB793" s="16"/>
      <c r="AFC793" s="16"/>
      <c r="AFD793" s="16"/>
      <c r="AFE793" s="16"/>
      <c r="AFF793" s="16"/>
      <c r="AFG793" s="16"/>
      <c r="AFH793" s="16"/>
      <c r="AFI793" s="16"/>
      <c r="AFJ793" s="16"/>
      <c r="AFK793" s="16"/>
      <c r="AFL793" s="16"/>
      <c r="AFM793" s="16"/>
      <c r="AFN793" s="16"/>
      <c r="AFO793" s="16"/>
      <c r="AFP793" s="16"/>
      <c r="AFQ793" s="16"/>
      <c r="AFR793" s="16"/>
      <c r="AFS793" s="16"/>
      <c r="AFT793" s="16"/>
      <c r="AFU793" s="16"/>
      <c r="AFV793" s="16"/>
      <c r="AFW793" s="16"/>
      <c r="AFX793" s="16"/>
      <c r="AFY793" s="16"/>
      <c r="AFZ793" s="16"/>
      <c r="AGA793" s="16"/>
      <c r="AGB793" s="16"/>
      <c r="AGC793" s="16"/>
      <c r="AGD793" s="16"/>
      <c r="AGE793" s="16"/>
      <c r="AGF793" s="16"/>
      <c r="AGG793" s="16"/>
      <c r="AGH793" s="16"/>
      <c r="AGI793" s="16"/>
      <c r="AGJ793" s="16"/>
    </row>
    <row r="794" spans="1:868" hidden="1">
      <c r="A794" s="151" t="s">
        <v>121</v>
      </c>
      <c r="B794" s="34" t="s">
        <v>345</v>
      </c>
      <c r="C794" s="40" t="s">
        <v>139</v>
      </c>
      <c r="D794" s="34" t="s">
        <v>95</v>
      </c>
      <c r="E794" s="257">
        <v>0.12292818474177457</v>
      </c>
      <c r="F794" s="232">
        <v>1</v>
      </c>
      <c r="G794" s="40"/>
      <c r="H794" s="29">
        <v>2</v>
      </c>
      <c r="I794" s="9">
        <v>2</v>
      </c>
      <c r="J794" s="9">
        <v>2</v>
      </c>
      <c r="K794" s="9">
        <v>2</v>
      </c>
      <c r="L794" s="9">
        <v>1</v>
      </c>
      <c r="M794" s="9">
        <v>2</v>
      </c>
      <c r="N794" s="185">
        <f t="shared" si="51"/>
        <v>0.38795788889711302</v>
      </c>
      <c r="O794" s="159">
        <f t="shared" si="52"/>
        <v>0.38795788889711302</v>
      </c>
      <c r="P794" s="63"/>
    </row>
    <row r="795" spans="1:868" hidden="1">
      <c r="A795" s="151" t="s">
        <v>121</v>
      </c>
      <c r="B795" s="34" t="s">
        <v>345</v>
      </c>
      <c r="C795" s="40" t="s">
        <v>139</v>
      </c>
      <c r="D795" s="34" t="s">
        <v>99</v>
      </c>
      <c r="E795" s="257">
        <v>0.72436500470366871</v>
      </c>
      <c r="F795" s="232">
        <v>1</v>
      </c>
      <c r="G795" s="40"/>
      <c r="H795" s="29">
        <v>2</v>
      </c>
      <c r="I795" s="9">
        <v>2</v>
      </c>
      <c r="J795" s="9">
        <v>2</v>
      </c>
      <c r="K795" s="9">
        <v>2</v>
      </c>
      <c r="L795" s="9">
        <v>1</v>
      </c>
      <c r="M795" s="9">
        <v>2</v>
      </c>
      <c r="N795" s="185">
        <f t="shared" si="51"/>
        <v>0.38795788889711302</v>
      </c>
      <c r="O795" s="159">
        <f t="shared" si="52"/>
        <v>0.38795788889711302</v>
      </c>
      <c r="P795" s="63"/>
    </row>
    <row r="796" spans="1:868" hidden="1">
      <c r="A796" s="151" t="s">
        <v>121</v>
      </c>
      <c r="B796" s="34" t="s">
        <v>347</v>
      </c>
      <c r="C796" s="40" t="s">
        <v>139</v>
      </c>
      <c r="D796" s="34" t="s">
        <v>85</v>
      </c>
      <c r="E796" s="257">
        <v>0</v>
      </c>
      <c r="F796" s="232">
        <v>1</v>
      </c>
      <c r="G796" s="40"/>
      <c r="H796" s="29"/>
      <c r="I796" s="9"/>
      <c r="J796" s="9"/>
      <c r="K796" s="9"/>
      <c r="L796" s="9"/>
      <c r="M796" s="9"/>
      <c r="N796" s="185" t="str">
        <f t="shared" si="51"/>
        <v/>
      </c>
      <c r="O796" s="159" t="str">
        <f t="shared" si="52"/>
        <v/>
      </c>
      <c r="P796" s="63"/>
    </row>
    <row r="797" spans="1:868" hidden="1">
      <c r="A797" s="151" t="s">
        <v>121</v>
      </c>
      <c r="B797" s="34" t="s">
        <v>347</v>
      </c>
      <c r="C797" s="40" t="s">
        <v>139</v>
      </c>
      <c r="D797" s="34" t="s">
        <v>86</v>
      </c>
      <c r="E797" s="257">
        <v>0</v>
      </c>
      <c r="F797" s="232">
        <v>1</v>
      </c>
      <c r="G797" s="40"/>
      <c r="H797" s="29"/>
      <c r="I797" s="9"/>
      <c r="J797" s="9"/>
      <c r="K797" s="9"/>
      <c r="L797" s="9"/>
      <c r="M797" s="9"/>
      <c r="N797" s="185" t="str">
        <f t="shared" si="51"/>
        <v/>
      </c>
      <c r="O797" s="159" t="str">
        <f t="shared" si="52"/>
        <v/>
      </c>
      <c r="P797" s="63"/>
    </row>
    <row r="798" spans="1:868" hidden="1">
      <c r="A798" s="151" t="s">
        <v>121</v>
      </c>
      <c r="B798" s="34" t="s">
        <v>347</v>
      </c>
      <c r="C798" s="40" t="s">
        <v>139</v>
      </c>
      <c r="D798" s="34" t="s">
        <v>87</v>
      </c>
      <c r="E798" s="257">
        <v>0.16934867262931416</v>
      </c>
      <c r="F798" s="232">
        <v>1</v>
      </c>
      <c r="G798" s="40"/>
      <c r="H798" s="29">
        <v>2</v>
      </c>
      <c r="I798" s="9">
        <v>2</v>
      </c>
      <c r="J798" s="9">
        <v>2</v>
      </c>
      <c r="K798" s="9">
        <v>2</v>
      </c>
      <c r="L798" s="9">
        <v>1</v>
      </c>
      <c r="M798" s="9">
        <v>2</v>
      </c>
      <c r="N798" s="185">
        <f t="shared" si="51"/>
        <v>0.38795788889711302</v>
      </c>
      <c r="O798" s="159">
        <f t="shared" si="52"/>
        <v>0.38795788889711302</v>
      </c>
      <c r="P798" s="63"/>
    </row>
    <row r="799" spans="1:868" hidden="1">
      <c r="A799" s="151" t="s">
        <v>121</v>
      </c>
      <c r="B799" s="34" t="s">
        <v>347</v>
      </c>
      <c r="C799" s="40" t="s">
        <v>139</v>
      </c>
      <c r="D799" s="34" t="s">
        <v>88</v>
      </c>
      <c r="E799" s="257">
        <v>0</v>
      </c>
      <c r="F799" s="232">
        <v>1</v>
      </c>
      <c r="G799" s="40"/>
      <c r="H799" s="29"/>
      <c r="I799" s="9"/>
      <c r="J799" s="9"/>
      <c r="K799" s="9"/>
      <c r="L799" s="9"/>
      <c r="M799" s="9"/>
      <c r="N799" s="185" t="str">
        <f t="shared" si="51"/>
        <v/>
      </c>
      <c r="O799" s="159" t="str">
        <f t="shared" si="52"/>
        <v/>
      </c>
      <c r="P799" s="63"/>
    </row>
    <row r="800" spans="1:868" hidden="1">
      <c r="A800" s="151" t="s">
        <v>121</v>
      </c>
      <c r="B800" s="34" t="s">
        <v>347</v>
      </c>
      <c r="C800" s="40" t="s">
        <v>139</v>
      </c>
      <c r="D800" s="34" t="s">
        <v>89</v>
      </c>
      <c r="E800" s="257">
        <v>0</v>
      </c>
      <c r="F800" s="232">
        <v>1</v>
      </c>
      <c r="G800" s="40"/>
      <c r="H800" s="29"/>
      <c r="I800" s="9"/>
      <c r="J800" s="9"/>
      <c r="K800" s="9"/>
      <c r="L800" s="9"/>
      <c r="M800" s="9"/>
      <c r="N800" s="185" t="str">
        <f t="shared" si="51"/>
        <v/>
      </c>
      <c r="O800" s="159" t="str">
        <f t="shared" si="52"/>
        <v/>
      </c>
      <c r="P800" s="63"/>
    </row>
    <row r="801" spans="1:868" hidden="1">
      <c r="A801" s="151" t="s">
        <v>121</v>
      </c>
      <c r="B801" s="34" t="s">
        <v>347</v>
      </c>
      <c r="C801" s="40" t="s">
        <v>139</v>
      </c>
      <c r="D801" s="34" t="s">
        <v>90</v>
      </c>
      <c r="E801" s="257">
        <v>0</v>
      </c>
      <c r="F801" s="232">
        <v>1</v>
      </c>
      <c r="G801" s="40"/>
      <c r="H801" s="29"/>
      <c r="I801" s="9"/>
      <c r="J801" s="9"/>
      <c r="K801" s="9"/>
      <c r="L801" s="9"/>
      <c r="M801" s="9"/>
      <c r="N801" s="185" t="str">
        <f t="shared" si="51"/>
        <v/>
      </c>
      <c r="O801" s="159" t="str">
        <f t="shared" si="52"/>
        <v/>
      </c>
      <c r="P801" s="63"/>
    </row>
    <row r="802" spans="1:868" s="210" customFormat="1" ht="15" hidden="1" thickBot="1">
      <c r="A802" s="151" t="s">
        <v>121</v>
      </c>
      <c r="B802" s="34" t="s">
        <v>347</v>
      </c>
      <c r="C802" s="40" t="s">
        <v>139</v>
      </c>
      <c r="D802" s="34" t="s">
        <v>91</v>
      </c>
      <c r="E802" s="257">
        <v>0.17788403171430972</v>
      </c>
      <c r="F802" s="232">
        <v>1</v>
      </c>
      <c r="G802" s="40"/>
      <c r="H802" s="29">
        <v>2</v>
      </c>
      <c r="I802" s="9">
        <v>2</v>
      </c>
      <c r="J802" s="9">
        <v>2</v>
      </c>
      <c r="K802" s="9">
        <v>2</v>
      </c>
      <c r="L802" s="9">
        <v>1</v>
      </c>
      <c r="M802" s="9">
        <v>2</v>
      </c>
      <c r="N802" s="185">
        <f t="shared" si="51"/>
        <v>0.38795788889711302</v>
      </c>
      <c r="O802" s="159">
        <f t="shared" si="52"/>
        <v>0.38795788889711302</v>
      </c>
      <c r="P802" s="63"/>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c r="JS802" s="16"/>
      <c r="JT802" s="16"/>
      <c r="JU802" s="16"/>
      <c r="JV802" s="16"/>
      <c r="JW802" s="16"/>
      <c r="JX802" s="16"/>
      <c r="JY802" s="16"/>
      <c r="JZ802" s="16"/>
      <c r="KA802" s="16"/>
      <c r="KB802" s="16"/>
      <c r="KC802" s="16"/>
      <c r="KD802" s="16"/>
      <c r="KE802" s="16"/>
      <c r="KF802" s="16"/>
      <c r="KG802" s="16"/>
      <c r="KH802" s="16"/>
      <c r="KI802" s="16"/>
      <c r="KJ802" s="16"/>
      <c r="KK802" s="16"/>
      <c r="KL802" s="16"/>
      <c r="KM802" s="16"/>
      <c r="KN802" s="16"/>
      <c r="KO802" s="16"/>
      <c r="KP802" s="16"/>
      <c r="KQ802" s="16"/>
      <c r="KR802" s="16"/>
      <c r="KS802" s="16"/>
      <c r="KT802" s="16"/>
      <c r="KU802" s="16"/>
      <c r="KV802" s="16"/>
      <c r="KW802" s="16"/>
      <c r="KX802" s="16"/>
      <c r="KY802" s="16"/>
      <c r="KZ802" s="16"/>
      <c r="LA802" s="16"/>
      <c r="LB802" s="16"/>
      <c r="LC802" s="16"/>
      <c r="LD802" s="16"/>
      <c r="LE802" s="16"/>
      <c r="LF802" s="16"/>
      <c r="LG802" s="16"/>
      <c r="LH802" s="16"/>
      <c r="LI802" s="16"/>
      <c r="LJ802" s="16"/>
      <c r="LK802" s="16"/>
      <c r="LL802" s="16"/>
      <c r="LM802" s="16"/>
      <c r="LN802" s="16"/>
      <c r="LO802" s="16"/>
      <c r="LP802" s="16"/>
      <c r="LQ802" s="16"/>
      <c r="LR802" s="16"/>
      <c r="LS802" s="16"/>
      <c r="LT802" s="16"/>
      <c r="LU802" s="16"/>
      <c r="LV802" s="16"/>
      <c r="LW802" s="16"/>
      <c r="LX802" s="16"/>
      <c r="LY802" s="16"/>
      <c r="LZ802" s="16"/>
      <c r="MA802" s="16"/>
      <c r="MB802" s="16"/>
      <c r="MC802" s="16"/>
      <c r="MD802" s="16"/>
      <c r="ME802" s="16"/>
      <c r="MF802" s="16"/>
      <c r="MG802" s="16"/>
      <c r="MH802" s="16"/>
      <c r="MI802" s="16"/>
      <c r="MJ802" s="16"/>
      <c r="MK802" s="16"/>
      <c r="ML802" s="16"/>
      <c r="MM802" s="16"/>
      <c r="MN802" s="16"/>
      <c r="MO802" s="16"/>
      <c r="MP802" s="16"/>
      <c r="MQ802" s="16"/>
      <c r="MR802" s="16"/>
      <c r="MS802" s="16"/>
      <c r="MT802" s="16"/>
      <c r="MU802" s="16"/>
      <c r="MV802" s="16"/>
      <c r="MW802" s="16"/>
      <c r="MX802" s="16"/>
      <c r="MY802" s="16"/>
      <c r="MZ802" s="16"/>
      <c r="NA802" s="16"/>
      <c r="NB802" s="16"/>
      <c r="NC802" s="16"/>
      <c r="ND802" s="16"/>
      <c r="NE802" s="16"/>
      <c r="NF802" s="16"/>
      <c r="NG802" s="16"/>
      <c r="NH802" s="16"/>
      <c r="NI802" s="16"/>
      <c r="NJ802" s="16"/>
      <c r="NK802" s="16"/>
      <c r="NL802" s="16"/>
      <c r="NM802" s="16"/>
      <c r="NN802" s="16"/>
      <c r="NO802" s="16"/>
      <c r="NP802" s="16"/>
      <c r="NQ802" s="16"/>
      <c r="NR802" s="16"/>
      <c r="NS802" s="16"/>
      <c r="NT802" s="16"/>
      <c r="NU802" s="16"/>
      <c r="NV802" s="16"/>
      <c r="NW802" s="16"/>
      <c r="NX802" s="16"/>
      <c r="NY802" s="16"/>
      <c r="NZ802" s="16"/>
      <c r="OA802" s="16"/>
      <c r="OB802" s="16"/>
      <c r="OC802" s="16"/>
      <c r="OD802" s="16"/>
      <c r="OE802" s="16"/>
      <c r="OF802" s="16"/>
      <c r="OG802" s="16"/>
      <c r="OH802" s="16"/>
      <c r="OI802" s="16"/>
      <c r="OJ802" s="16"/>
      <c r="OK802" s="16"/>
      <c r="OL802" s="16"/>
      <c r="OM802" s="16"/>
      <c r="ON802" s="16"/>
      <c r="OO802" s="16"/>
      <c r="OP802" s="16"/>
      <c r="OQ802" s="16"/>
      <c r="OR802" s="16"/>
      <c r="OS802" s="16"/>
      <c r="OT802" s="16"/>
      <c r="OU802" s="16"/>
      <c r="OV802" s="16"/>
      <c r="OW802" s="16"/>
      <c r="OX802" s="16"/>
      <c r="OY802" s="16"/>
      <c r="OZ802" s="16"/>
      <c r="PA802" s="16"/>
      <c r="PB802" s="16"/>
      <c r="PC802" s="16"/>
      <c r="PD802" s="16"/>
      <c r="PE802" s="16"/>
      <c r="PF802" s="16"/>
      <c r="PG802" s="16"/>
      <c r="PH802" s="16"/>
      <c r="PI802" s="16"/>
      <c r="PJ802" s="16"/>
      <c r="PK802" s="16"/>
      <c r="PL802" s="16"/>
      <c r="PM802" s="16"/>
      <c r="PN802" s="16"/>
      <c r="PO802" s="16"/>
      <c r="PP802" s="16"/>
      <c r="PQ802" s="16"/>
      <c r="PR802" s="16"/>
      <c r="PS802" s="16"/>
      <c r="PT802" s="16"/>
      <c r="PU802" s="16"/>
      <c r="PV802" s="16"/>
      <c r="PW802" s="16"/>
      <c r="PX802" s="16"/>
      <c r="PY802" s="16"/>
      <c r="PZ802" s="16"/>
      <c r="QA802" s="16"/>
      <c r="QB802" s="16"/>
      <c r="QC802" s="16"/>
      <c r="QD802" s="16"/>
      <c r="QE802" s="16"/>
      <c r="QF802" s="16"/>
      <c r="QG802" s="16"/>
      <c r="QH802" s="16"/>
      <c r="QI802" s="16"/>
      <c r="QJ802" s="16"/>
      <c r="QK802" s="16"/>
      <c r="QL802" s="16"/>
      <c r="QM802" s="16"/>
      <c r="QN802" s="16"/>
      <c r="QO802" s="16"/>
      <c r="QP802" s="16"/>
      <c r="QQ802" s="16"/>
      <c r="QR802" s="16"/>
      <c r="QS802" s="16"/>
      <c r="QT802" s="16"/>
      <c r="QU802" s="16"/>
      <c r="QV802" s="16"/>
      <c r="QW802" s="16"/>
      <c r="QX802" s="16"/>
      <c r="QY802" s="16"/>
      <c r="QZ802" s="16"/>
      <c r="RA802" s="16"/>
      <c r="RB802" s="16"/>
      <c r="RC802" s="16"/>
      <c r="RD802" s="16"/>
      <c r="RE802" s="16"/>
      <c r="RF802" s="16"/>
      <c r="RG802" s="16"/>
      <c r="RH802" s="16"/>
      <c r="RI802" s="16"/>
      <c r="RJ802" s="16"/>
      <c r="RK802" s="16"/>
      <c r="RL802" s="16"/>
      <c r="RM802" s="16"/>
      <c r="RN802" s="16"/>
      <c r="RO802" s="16"/>
      <c r="RP802" s="16"/>
      <c r="RQ802" s="16"/>
      <c r="RR802" s="16"/>
      <c r="RS802" s="16"/>
      <c r="RT802" s="16"/>
      <c r="RU802" s="16"/>
      <c r="RV802" s="16"/>
      <c r="RW802" s="16"/>
      <c r="RX802" s="16"/>
      <c r="RY802" s="16"/>
      <c r="RZ802" s="16"/>
      <c r="SA802" s="16"/>
      <c r="SB802" s="16"/>
      <c r="SC802" s="16"/>
      <c r="SD802" s="16"/>
      <c r="SE802" s="16"/>
      <c r="SF802" s="16"/>
      <c r="SG802" s="16"/>
      <c r="SH802" s="16"/>
      <c r="SI802" s="16"/>
      <c r="SJ802" s="16"/>
      <c r="SK802" s="16"/>
      <c r="SL802" s="16"/>
      <c r="SM802" s="16"/>
      <c r="SN802" s="16"/>
      <c r="SO802" s="16"/>
      <c r="SP802" s="16"/>
      <c r="SQ802" s="16"/>
      <c r="SR802" s="16"/>
      <c r="SS802" s="16"/>
      <c r="ST802" s="16"/>
      <c r="SU802" s="16"/>
      <c r="SV802" s="16"/>
      <c r="SW802" s="16"/>
      <c r="SX802" s="16"/>
      <c r="SY802" s="16"/>
      <c r="SZ802" s="16"/>
      <c r="TA802" s="16"/>
      <c r="TB802" s="16"/>
      <c r="TC802" s="16"/>
      <c r="TD802" s="16"/>
      <c r="TE802" s="16"/>
      <c r="TF802" s="16"/>
      <c r="TG802" s="16"/>
      <c r="TH802" s="16"/>
      <c r="TI802" s="16"/>
      <c r="TJ802" s="16"/>
      <c r="TK802" s="16"/>
      <c r="TL802" s="16"/>
      <c r="TM802" s="16"/>
      <c r="TN802" s="16"/>
      <c r="TO802" s="16"/>
      <c r="TP802" s="16"/>
      <c r="TQ802" s="16"/>
      <c r="TR802" s="16"/>
      <c r="TS802" s="16"/>
      <c r="TT802" s="16"/>
      <c r="TU802" s="16"/>
      <c r="TV802" s="16"/>
      <c r="TW802" s="16"/>
      <c r="TX802" s="16"/>
      <c r="TY802" s="16"/>
      <c r="TZ802" s="16"/>
      <c r="UA802" s="16"/>
      <c r="UB802" s="16"/>
      <c r="UC802" s="16"/>
      <c r="UD802" s="16"/>
      <c r="UE802" s="16"/>
      <c r="UF802" s="16"/>
      <c r="UG802" s="16"/>
      <c r="UH802" s="16"/>
      <c r="UI802" s="16"/>
      <c r="UJ802" s="16"/>
      <c r="UK802" s="16"/>
      <c r="UL802" s="16"/>
      <c r="UM802" s="16"/>
      <c r="UN802" s="16"/>
      <c r="UO802" s="16"/>
      <c r="UP802" s="16"/>
      <c r="UQ802" s="16"/>
      <c r="UR802" s="16"/>
      <c r="US802" s="16"/>
      <c r="UT802" s="16"/>
      <c r="UU802" s="16"/>
      <c r="UV802" s="16"/>
      <c r="UW802" s="16"/>
      <c r="UX802" s="16"/>
      <c r="UY802" s="16"/>
      <c r="UZ802" s="16"/>
      <c r="VA802" s="16"/>
      <c r="VB802" s="16"/>
      <c r="VC802" s="16"/>
      <c r="VD802" s="16"/>
      <c r="VE802" s="16"/>
      <c r="VF802" s="16"/>
      <c r="VG802" s="16"/>
      <c r="VH802" s="16"/>
      <c r="VI802" s="16"/>
      <c r="VJ802" s="16"/>
      <c r="VK802" s="16"/>
      <c r="VL802" s="16"/>
      <c r="VM802" s="16"/>
      <c r="VN802" s="16"/>
      <c r="VO802" s="16"/>
      <c r="VP802" s="16"/>
      <c r="VQ802" s="16"/>
      <c r="VR802" s="16"/>
      <c r="VS802" s="16"/>
      <c r="VT802" s="16"/>
      <c r="VU802" s="16"/>
      <c r="VV802" s="16"/>
      <c r="VW802" s="16"/>
      <c r="VX802" s="16"/>
      <c r="VY802" s="16"/>
      <c r="VZ802" s="16"/>
      <c r="WA802" s="16"/>
      <c r="WB802" s="16"/>
      <c r="WC802" s="16"/>
      <c r="WD802" s="16"/>
      <c r="WE802" s="16"/>
      <c r="WF802" s="16"/>
      <c r="WG802" s="16"/>
      <c r="WH802" s="16"/>
      <c r="WI802" s="16"/>
      <c r="WJ802" s="16"/>
      <c r="WK802" s="16"/>
      <c r="WL802" s="16"/>
      <c r="WM802" s="16"/>
      <c r="WN802" s="16"/>
      <c r="WO802" s="16"/>
      <c r="WP802" s="16"/>
      <c r="WQ802" s="16"/>
      <c r="WR802" s="16"/>
      <c r="WS802" s="16"/>
      <c r="WT802" s="16"/>
      <c r="WU802" s="16"/>
      <c r="WV802" s="16"/>
      <c r="WW802" s="16"/>
      <c r="WX802" s="16"/>
      <c r="WY802" s="16"/>
      <c r="WZ802" s="16"/>
      <c r="XA802" s="16"/>
      <c r="XB802" s="16"/>
      <c r="XC802" s="16"/>
      <c r="XD802" s="16"/>
      <c r="XE802" s="16"/>
      <c r="XF802" s="16"/>
      <c r="XG802" s="16"/>
      <c r="XH802" s="16"/>
      <c r="XI802" s="16"/>
      <c r="XJ802" s="16"/>
      <c r="XK802" s="16"/>
      <c r="XL802" s="16"/>
      <c r="XM802" s="16"/>
      <c r="XN802" s="16"/>
      <c r="XO802" s="16"/>
      <c r="XP802" s="16"/>
      <c r="XQ802" s="16"/>
      <c r="XR802" s="16"/>
      <c r="XS802" s="16"/>
      <c r="XT802" s="16"/>
      <c r="XU802" s="16"/>
      <c r="XV802" s="16"/>
      <c r="XW802" s="16"/>
      <c r="XX802" s="16"/>
      <c r="XY802" s="16"/>
      <c r="XZ802" s="16"/>
      <c r="YA802" s="16"/>
      <c r="YB802" s="16"/>
      <c r="YC802" s="16"/>
      <c r="YD802" s="16"/>
      <c r="YE802" s="16"/>
      <c r="YF802" s="16"/>
      <c r="YG802" s="16"/>
      <c r="YH802" s="16"/>
      <c r="YI802" s="16"/>
      <c r="YJ802" s="16"/>
      <c r="YK802" s="16"/>
      <c r="YL802" s="16"/>
      <c r="YM802" s="16"/>
      <c r="YN802" s="16"/>
      <c r="YO802" s="16"/>
      <c r="YP802" s="16"/>
      <c r="YQ802" s="16"/>
      <c r="YR802" s="16"/>
      <c r="YS802" s="16"/>
      <c r="YT802" s="16"/>
      <c r="YU802" s="16"/>
      <c r="YV802" s="16"/>
      <c r="YW802" s="16"/>
      <c r="YX802" s="16"/>
      <c r="YY802" s="16"/>
      <c r="YZ802" s="16"/>
      <c r="ZA802" s="16"/>
      <c r="ZB802" s="16"/>
      <c r="ZC802" s="16"/>
      <c r="ZD802" s="16"/>
      <c r="ZE802" s="16"/>
      <c r="ZF802" s="16"/>
      <c r="ZG802" s="16"/>
      <c r="ZH802" s="16"/>
      <c r="ZI802" s="16"/>
      <c r="ZJ802" s="16"/>
      <c r="ZK802" s="16"/>
      <c r="ZL802" s="16"/>
      <c r="ZM802" s="16"/>
      <c r="ZN802" s="16"/>
      <c r="ZO802" s="16"/>
      <c r="ZP802" s="16"/>
      <c r="ZQ802" s="16"/>
      <c r="ZR802" s="16"/>
      <c r="ZS802" s="16"/>
      <c r="ZT802" s="16"/>
      <c r="ZU802" s="16"/>
      <c r="ZV802" s="16"/>
      <c r="ZW802" s="16"/>
      <c r="ZX802" s="16"/>
      <c r="ZY802" s="16"/>
      <c r="ZZ802" s="16"/>
      <c r="AAA802" s="16"/>
      <c r="AAB802" s="16"/>
      <c r="AAC802" s="16"/>
      <c r="AAD802" s="16"/>
      <c r="AAE802" s="16"/>
      <c r="AAF802" s="16"/>
      <c r="AAG802" s="16"/>
      <c r="AAH802" s="16"/>
      <c r="AAI802" s="16"/>
      <c r="AAJ802" s="16"/>
      <c r="AAK802" s="16"/>
      <c r="AAL802" s="16"/>
      <c r="AAM802" s="16"/>
      <c r="AAN802" s="16"/>
      <c r="AAO802" s="16"/>
      <c r="AAP802" s="16"/>
      <c r="AAQ802" s="16"/>
      <c r="AAR802" s="16"/>
      <c r="AAS802" s="16"/>
      <c r="AAT802" s="16"/>
      <c r="AAU802" s="16"/>
      <c r="AAV802" s="16"/>
      <c r="AAW802" s="16"/>
      <c r="AAX802" s="16"/>
      <c r="AAY802" s="16"/>
      <c r="AAZ802" s="16"/>
      <c r="ABA802" s="16"/>
      <c r="ABB802" s="16"/>
      <c r="ABC802" s="16"/>
      <c r="ABD802" s="16"/>
      <c r="ABE802" s="16"/>
      <c r="ABF802" s="16"/>
      <c r="ABG802" s="16"/>
      <c r="ABH802" s="16"/>
      <c r="ABI802" s="16"/>
      <c r="ABJ802" s="16"/>
      <c r="ABK802" s="16"/>
      <c r="ABL802" s="16"/>
      <c r="ABM802" s="16"/>
      <c r="ABN802" s="16"/>
      <c r="ABO802" s="16"/>
      <c r="ABP802" s="16"/>
      <c r="ABQ802" s="16"/>
      <c r="ABR802" s="16"/>
      <c r="ABS802" s="16"/>
      <c r="ABT802" s="16"/>
      <c r="ABU802" s="16"/>
      <c r="ABV802" s="16"/>
      <c r="ABW802" s="16"/>
      <c r="ABX802" s="16"/>
      <c r="ABY802" s="16"/>
      <c r="ABZ802" s="16"/>
      <c r="ACA802" s="16"/>
      <c r="ACB802" s="16"/>
      <c r="ACC802" s="16"/>
      <c r="ACD802" s="16"/>
      <c r="ACE802" s="16"/>
      <c r="ACF802" s="16"/>
      <c r="ACG802" s="16"/>
      <c r="ACH802" s="16"/>
      <c r="ACI802" s="16"/>
      <c r="ACJ802" s="16"/>
      <c r="ACK802" s="16"/>
      <c r="ACL802" s="16"/>
      <c r="ACM802" s="16"/>
      <c r="ACN802" s="16"/>
      <c r="ACO802" s="16"/>
      <c r="ACP802" s="16"/>
      <c r="ACQ802" s="16"/>
      <c r="ACR802" s="16"/>
      <c r="ACS802" s="16"/>
      <c r="ACT802" s="16"/>
      <c r="ACU802" s="16"/>
      <c r="ACV802" s="16"/>
      <c r="ACW802" s="16"/>
      <c r="ACX802" s="16"/>
      <c r="ACY802" s="16"/>
      <c r="ACZ802" s="16"/>
      <c r="ADA802" s="16"/>
      <c r="ADB802" s="16"/>
      <c r="ADC802" s="16"/>
      <c r="ADD802" s="16"/>
      <c r="ADE802" s="16"/>
      <c r="ADF802" s="16"/>
      <c r="ADG802" s="16"/>
      <c r="ADH802" s="16"/>
      <c r="ADI802" s="16"/>
      <c r="ADJ802" s="16"/>
      <c r="ADK802" s="16"/>
      <c r="ADL802" s="16"/>
      <c r="ADM802" s="16"/>
      <c r="ADN802" s="16"/>
      <c r="ADO802" s="16"/>
      <c r="ADP802" s="16"/>
      <c r="ADQ802" s="16"/>
      <c r="ADR802" s="16"/>
      <c r="ADS802" s="16"/>
      <c r="ADT802" s="16"/>
      <c r="ADU802" s="16"/>
      <c r="ADV802" s="16"/>
      <c r="ADW802" s="16"/>
      <c r="ADX802" s="16"/>
      <c r="ADY802" s="16"/>
      <c r="ADZ802" s="16"/>
      <c r="AEA802" s="16"/>
      <c r="AEB802" s="16"/>
      <c r="AEC802" s="16"/>
      <c r="AED802" s="16"/>
      <c r="AEE802" s="16"/>
      <c r="AEF802" s="16"/>
      <c r="AEG802" s="16"/>
      <c r="AEH802" s="16"/>
      <c r="AEI802" s="16"/>
      <c r="AEJ802" s="16"/>
      <c r="AEK802" s="16"/>
      <c r="AEL802" s="16"/>
      <c r="AEM802" s="16"/>
      <c r="AEN802" s="16"/>
      <c r="AEO802" s="16"/>
      <c r="AEP802" s="16"/>
      <c r="AEQ802" s="16"/>
      <c r="AER802" s="16"/>
      <c r="AES802" s="16"/>
      <c r="AET802" s="16"/>
      <c r="AEU802" s="16"/>
      <c r="AEV802" s="16"/>
      <c r="AEW802" s="16"/>
      <c r="AEX802" s="16"/>
      <c r="AEY802" s="16"/>
      <c r="AEZ802" s="16"/>
      <c r="AFA802" s="16"/>
      <c r="AFB802" s="16"/>
      <c r="AFC802" s="16"/>
      <c r="AFD802" s="16"/>
      <c r="AFE802" s="16"/>
      <c r="AFF802" s="16"/>
      <c r="AFG802" s="16"/>
      <c r="AFH802" s="16"/>
      <c r="AFI802" s="16"/>
      <c r="AFJ802" s="16"/>
      <c r="AFK802" s="16"/>
      <c r="AFL802" s="16"/>
      <c r="AFM802" s="16"/>
      <c r="AFN802" s="16"/>
      <c r="AFO802" s="16"/>
      <c r="AFP802" s="16"/>
      <c r="AFQ802" s="16"/>
      <c r="AFR802" s="16"/>
      <c r="AFS802" s="16"/>
      <c r="AFT802" s="16"/>
      <c r="AFU802" s="16"/>
      <c r="AFV802" s="16"/>
      <c r="AFW802" s="16"/>
      <c r="AFX802" s="16"/>
      <c r="AFY802" s="16"/>
      <c r="AFZ802" s="16"/>
      <c r="AGA802" s="16"/>
      <c r="AGB802" s="16"/>
      <c r="AGC802" s="16"/>
      <c r="AGD802" s="16"/>
      <c r="AGE802" s="16"/>
      <c r="AGF802" s="16"/>
      <c r="AGG802" s="16"/>
      <c r="AGH802" s="16"/>
      <c r="AGI802" s="16"/>
      <c r="AGJ802" s="16"/>
    </row>
    <row r="803" spans="1:868" s="833" customFormat="1" hidden="1">
      <c r="A803" s="151" t="s">
        <v>121</v>
      </c>
      <c r="B803" s="34" t="s">
        <v>347</v>
      </c>
      <c r="C803" s="40" t="s">
        <v>139</v>
      </c>
      <c r="D803" s="34" t="s">
        <v>95</v>
      </c>
      <c r="E803" s="257">
        <v>0.13697999666323399</v>
      </c>
      <c r="F803" s="232">
        <v>1</v>
      </c>
      <c r="G803" s="40"/>
      <c r="H803" s="29">
        <v>2</v>
      </c>
      <c r="I803" s="9">
        <v>2</v>
      </c>
      <c r="J803" s="9">
        <v>2</v>
      </c>
      <c r="K803" s="9">
        <v>2</v>
      </c>
      <c r="L803" s="9">
        <v>1</v>
      </c>
      <c r="M803" s="9">
        <v>2</v>
      </c>
      <c r="N803" s="185">
        <f t="shared" si="51"/>
        <v>0.38795788889711302</v>
      </c>
      <c r="O803" s="159">
        <f t="shared" si="52"/>
        <v>0.38795788889711302</v>
      </c>
      <c r="P803" s="63"/>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c r="JS803" s="16"/>
      <c r="JT803" s="16"/>
      <c r="JU803" s="16"/>
      <c r="JV803" s="16"/>
      <c r="JW803" s="16"/>
      <c r="JX803" s="16"/>
      <c r="JY803" s="16"/>
      <c r="JZ803" s="16"/>
      <c r="KA803" s="16"/>
      <c r="KB803" s="16"/>
      <c r="KC803" s="16"/>
      <c r="KD803" s="16"/>
      <c r="KE803" s="16"/>
      <c r="KF803" s="16"/>
      <c r="KG803" s="16"/>
      <c r="KH803" s="16"/>
      <c r="KI803" s="16"/>
      <c r="KJ803" s="16"/>
      <c r="KK803" s="16"/>
      <c r="KL803" s="16"/>
      <c r="KM803" s="16"/>
      <c r="KN803" s="16"/>
      <c r="KO803" s="16"/>
      <c r="KP803" s="16"/>
      <c r="KQ803" s="16"/>
      <c r="KR803" s="16"/>
      <c r="KS803" s="16"/>
      <c r="KT803" s="16"/>
      <c r="KU803" s="16"/>
      <c r="KV803" s="16"/>
      <c r="KW803" s="16"/>
      <c r="KX803" s="16"/>
      <c r="KY803" s="16"/>
      <c r="KZ803" s="16"/>
      <c r="LA803" s="16"/>
      <c r="LB803" s="16"/>
      <c r="LC803" s="16"/>
      <c r="LD803" s="16"/>
      <c r="LE803" s="16"/>
      <c r="LF803" s="16"/>
      <c r="LG803" s="16"/>
      <c r="LH803" s="16"/>
      <c r="LI803" s="16"/>
      <c r="LJ803" s="16"/>
      <c r="LK803" s="16"/>
      <c r="LL803" s="16"/>
      <c r="LM803" s="16"/>
      <c r="LN803" s="16"/>
      <c r="LO803" s="16"/>
      <c r="LP803" s="16"/>
      <c r="LQ803" s="16"/>
      <c r="LR803" s="16"/>
      <c r="LS803" s="16"/>
      <c r="LT803" s="16"/>
      <c r="LU803" s="16"/>
      <c r="LV803" s="16"/>
      <c r="LW803" s="16"/>
      <c r="LX803" s="16"/>
      <c r="LY803" s="16"/>
      <c r="LZ803" s="16"/>
      <c r="MA803" s="16"/>
      <c r="MB803" s="16"/>
      <c r="MC803" s="16"/>
      <c r="MD803" s="16"/>
      <c r="ME803" s="16"/>
      <c r="MF803" s="16"/>
      <c r="MG803" s="16"/>
      <c r="MH803" s="16"/>
      <c r="MI803" s="16"/>
      <c r="MJ803" s="16"/>
      <c r="MK803" s="16"/>
      <c r="ML803" s="16"/>
      <c r="MM803" s="16"/>
      <c r="MN803" s="16"/>
      <c r="MO803" s="16"/>
      <c r="MP803" s="16"/>
      <c r="MQ803" s="16"/>
      <c r="MR803" s="16"/>
      <c r="MS803" s="16"/>
      <c r="MT803" s="16"/>
      <c r="MU803" s="16"/>
      <c r="MV803" s="16"/>
      <c r="MW803" s="16"/>
      <c r="MX803" s="16"/>
      <c r="MY803" s="16"/>
      <c r="MZ803" s="16"/>
      <c r="NA803" s="16"/>
      <c r="NB803" s="16"/>
      <c r="NC803" s="16"/>
      <c r="ND803" s="16"/>
      <c r="NE803" s="16"/>
      <c r="NF803" s="16"/>
      <c r="NG803" s="16"/>
      <c r="NH803" s="16"/>
      <c r="NI803" s="16"/>
      <c r="NJ803" s="16"/>
      <c r="NK803" s="16"/>
      <c r="NL803" s="16"/>
      <c r="NM803" s="16"/>
      <c r="NN803" s="16"/>
      <c r="NO803" s="16"/>
      <c r="NP803" s="16"/>
      <c r="NQ803" s="16"/>
      <c r="NR803" s="16"/>
      <c r="NS803" s="16"/>
      <c r="NT803" s="16"/>
      <c r="NU803" s="16"/>
      <c r="NV803" s="16"/>
      <c r="NW803" s="16"/>
      <c r="NX803" s="16"/>
      <c r="NY803" s="16"/>
      <c r="NZ803" s="16"/>
      <c r="OA803" s="16"/>
      <c r="OB803" s="16"/>
      <c r="OC803" s="16"/>
      <c r="OD803" s="16"/>
      <c r="OE803" s="16"/>
      <c r="OF803" s="16"/>
      <c r="OG803" s="16"/>
      <c r="OH803" s="16"/>
      <c r="OI803" s="16"/>
      <c r="OJ803" s="16"/>
      <c r="OK803" s="16"/>
      <c r="OL803" s="16"/>
      <c r="OM803" s="16"/>
      <c r="ON803" s="16"/>
      <c r="OO803" s="16"/>
      <c r="OP803" s="16"/>
      <c r="OQ803" s="16"/>
      <c r="OR803" s="16"/>
      <c r="OS803" s="16"/>
      <c r="OT803" s="16"/>
      <c r="OU803" s="16"/>
      <c r="OV803" s="16"/>
      <c r="OW803" s="16"/>
      <c r="OX803" s="16"/>
      <c r="OY803" s="16"/>
      <c r="OZ803" s="16"/>
      <c r="PA803" s="16"/>
      <c r="PB803" s="16"/>
      <c r="PC803" s="16"/>
      <c r="PD803" s="16"/>
      <c r="PE803" s="16"/>
      <c r="PF803" s="16"/>
      <c r="PG803" s="16"/>
      <c r="PH803" s="16"/>
      <c r="PI803" s="16"/>
      <c r="PJ803" s="16"/>
      <c r="PK803" s="16"/>
      <c r="PL803" s="16"/>
      <c r="PM803" s="16"/>
      <c r="PN803" s="16"/>
      <c r="PO803" s="16"/>
      <c r="PP803" s="16"/>
      <c r="PQ803" s="16"/>
      <c r="PR803" s="16"/>
      <c r="PS803" s="16"/>
      <c r="PT803" s="16"/>
      <c r="PU803" s="16"/>
      <c r="PV803" s="16"/>
      <c r="PW803" s="16"/>
      <c r="PX803" s="16"/>
      <c r="PY803" s="16"/>
      <c r="PZ803" s="16"/>
      <c r="QA803" s="16"/>
      <c r="QB803" s="16"/>
      <c r="QC803" s="16"/>
      <c r="QD803" s="16"/>
      <c r="QE803" s="16"/>
      <c r="QF803" s="16"/>
      <c r="QG803" s="16"/>
      <c r="QH803" s="16"/>
      <c r="QI803" s="16"/>
      <c r="QJ803" s="16"/>
      <c r="QK803" s="16"/>
      <c r="QL803" s="16"/>
      <c r="QM803" s="16"/>
      <c r="QN803" s="16"/>
      <c r="QO803" s="16"/>
      <c r="QP803" s="16"/>
      <c r="QQ803" s="16"/>
      <c r="QR803" s="16"/>
      <c r="QS803" s="16"/>
      <c r="QT803" s="16"/>
      <c r="QU803" s="16"/>
      <c r="QV803" s="16"/>
      <c r="QW803" s="16"/>
      <c r="QX803" s="16"/>
      <c r="QY803" s="16"/>
      <c r="QZ803" s="16"/>
      <c r="RA803" s="16"/>
      <c r="RB803" s="16"/>
      <c r="RC803" s="16"/>
      <c r="RD803" s="16"/>
      <c r="RE803" s="16"/>
      <c r="RF803" s="16"/>
      <c r="RG803" s="16"/>
      <c r="RH803" s="16"/>
      <c r="RI803" s="16"/>
      <c r="RJ803" s="16"/>
      <c r="RK803" s="16"/>
      <c r="RL803" s="16"/>
      <c r="RM803" s="16"/>
      <c r="RN803" s="16"/>
      <c r="RO803" s="16"/>
      <c r="RP803" s="16"/>
      <c r="RQ803" s="16"/>
      <c r="RR803" s="16"/>
      <c r="RS803" s="16"/>
      <c r="RT803" s="16"/>
      <c r="RU803" s="16"/>
      <c r="RV803" s="16"/>
      <c r="RW803" s="16"/>
      <c r="RX803" s="16"/>
      <c r="RY803" s="16"/>
      <c r="RZ803" s="16"/>
      <c r="SA803" s="16"/>
      <c r="SB803" s="16"/>
      <c r="SC803" s="16"/>
      <c r="SD803" s="16"/>
      <c r="SE803" s="16"/>
      <c r="SF803" s="16"/>
      <c r="SG803" s="16"/>
      <c r="SH803" s="16"/>
      <c r="SI803" s="16"/>
      <c r="SJ803" s="16"/>
      <c r="SK803" s="16"/>
      <c r="SL803" s="16"/>
      <c r="SM803" s="16"/>
      <c r="SN803" s="16"/>
      <c r="SO803" s="16"/>
      <c r="SP803" s="16"/>
      <c r="SQ803" s="16"/>
      <c r="SR803" s="16"/>
      <c r="SS803" s="16"/>
      <c r="ST803" s="16"/>
      <c r="SU803" s="16"/>
      <c r="SV803" s="16"/>
      <c r="SW803" s="16"/>
      <c r="SX803" s="16"/>
      <c r="SY803" s="16"/>
      <c r="SZ803" s="16"/>
      <c r="TA803" s="16"/>
      <c r="TB803" s="16"/>
      <c r="TC803" s="16"/>
      <c r="TD803" s="16"/>
      <c r="TE803" s="16"/>
      <c r="TF803" s="16"/>
      <c r="TG803" s="16"/>
      <c r="TH803" s="16"/>
      <c r="TI803" s="16"/>
      <c r="TJ803" s="16"/>
      <c r="TK803" s="16"/>
      <c r="TL803" s="16"/>
      <c r="TM803" s="16"/>
      <c r="TN803" s="16"/>
      <c r="TO803" s="16"/>
      <c r="TP803" s="16"/>
      <c r="TQ803" s="16"/>
      <c r="TR803" s="16"/>
      <c r="TS803" s="16"/>
      <c r="TT803" s="16"/>
      <c r="TU803" s="16"/>
      <c r="TV803" s="16"/>
      <c r="TW803" s="16"/>
      <c r="TX803" s="16"/>
      <c r="TY803" s="16"/>
      <c r="TZ803" s="16"/>
      <c r="UA803" s="16"/>
      <c r="UB803" s="16"/>
      <c r="UC803" s="16"/>
      <c r="UD803" s="16"/>
      <c r="UE803" s="16"/>
      <c r="UF803" s="16"/>
      <c r="UG803" s="16"/>
      <c r="UH803" s="16"/>
      <c r="UI803" s="16"/>
      <c r="UJ803" s="16"/>
      <c r="UK803" s="16"/>
      <c r="UL803" s="16"/>
      <c r="UM803" s="16"/>
      <c r="UN803" s="16"/>
      <c r="UO803" s="16"/>
      <c r="UP803" s="16"/>
      <c r="UQ803" s="16"/>
      <c r="UR803" s="16"/>
      <c r="US803" s="16"/>
      <c r="UT803" s="16"/>
      <c r="UU803" s="16"/>
      <c r="UV803" s="16"/>
      <c r="UW803" s="16"/>
      <c r="UX803" s="16"/>
      <c r="UY803" s="16"/>
      <c r="UZ803" s="16"/>
      <c r="VA803" s="16"/>
      <c r="VB803" s="16"/>
      <c r="VC803" s="16"/>
      <c r="VD803" s="16"/>
      <c r="VE803" s="16"/>
      <c r="VF803" s="16"/>
      <c r="VG803" s="16"/>
      <c r="VH803" s="16"/>
      <c r="VI803" s="16"/>
      <c r="VJ803" s="16"/>
      <c r="VK803" s="16"/>
      <c r="VL803" s="16"/>
      <c r="VM803" s="16"/>
      <c r="VN803" s="16"/>
      <c r="VO803" s="16"/>
      <c r="VP803" s="16"/>
      <c r="VQ803" s="16"/>
      <c r="VR803" s="16"/>
      <c r="VS803" s="16"/>
      <c r="VT803" s="16"/>
      <c r="VU803" s="16"/>
      <c r="VV803" s="16"/>
      <c r="VW803" s="16"/>
      <c r="VX803" s="16"/>
      <c r="VY803" s="16"/>
      <c r="VZ803" s="16"/>
      <c r="WA803" s="16"/>
      <c r="WB803" s="16"/>
      <c r="WC803" s="16"/>
      <c r="WD803" s="16"/>
      <c r="WE803" s="16"/>
      <c r="WF803" s="16"/>
      <c r="WG803" s="16"/>
      <c r="WH803" s="16"/>
      <c r="WI803" s="16"/>
      <c r="WJ803" s="16"/>
      <c r="WK803" s="16"/>
      <c r="WL803" s="16"/>
      <c r="WM803" s="16"/>
      <c r="WN803" s="16"/>
      <c r="WO803" s="16"/>
      <c r="WP803" s="16"/>
      <c r="WQ803" s="16"/>
      <c r="WR803" s="16"/>
      <c r="WS803" s="16"/>
      <c r="WT803" s="16"/>
      <c r="WU803" s="16"/>
      <c r="WV803" s="16"/>
      <c r="WW803" s="16"/>
      <c r="WX803" s="16"/>
      <c r="WY803" s="16"/>
      <c r="WZ803" s="16"/>
      <c r="XA803" s="16"/>
      <c r="XB803" s="16"/>
      <c r="XC803" s="16"/>
      <c r="XD803" s="16"/>
      <c r="XE803" s="16"/>
      <c r="XF803" s="16"/>
      <c r="XG803" s="16"/>
      <c r="XH803" s="16"/>
      <c r="XI803" s="16"/>
      <c r="XJ803" s="16"/>
      <c r="XK803" s="16"/>
      <c r="XL803" s="16"/>
      <c r="XM803" s="16"/>
      <c r="XN803" s="16"/>
      <c r="XO803" s="16"/>
      <c r="XP803" s="16"/>
      <c r="XQ803" s="16"/>
      <c r="XR803" s="16"/>
      <c r="XS803" s="16"/>
      <c r="XT803" s="16"/>
      <c r="XU803" s="16"/>
      <c r="XV803" s="16"/>
      <c r="XW803" s="16"/>
      <c r="XX803" s="16"/>
      <c r="XY803" s="16"/>
      <c r="XZ803" s="16"/>
      <c r="YA803" s="16"/>
      <c r="YB803" s="16"/>
      <c r="YC803" s="16"/>
      <c r="YD803" s="16"/>
      <c r="YE803" s="16"/>
      <c r="YF803" s="16"/>
      <c r="YG803" s="16"/>
      <c r="YH803" s="16"/>
      <c r="YI803" s="16"/>
      <c r="YJ803" s="16"/>
      <c r="YK803" s="16"/>
      <c r="YL803" s="16"/>
      <c r="YM803" s="16"/>
      <c r="YN803" s="16"/>
      <c r="YO803" s="16"/>
      <c r="YP803" s="16"/>
      <c r="YQ803" s="16"/>
      <c r="YR803" s="16"/>
      <c r="YS803" s="16"/>
      <c r="YT803" s="16"/>
      <c r="YU803" s="16"/>
      <c r="YV803" s="16"/>
      <c r="YW803" s="16"/>
      <c r="YX803" s="16"/>
      <c r="YY803" s="16"/>
      <c r="YZ803" s="16"/>
      <c r="ZA803" s="16"/>
      <c r="ZB803" s="16"/>
      <c r="ZC803" s="16"/>
      <c r="ZD803" s="16"/>
      <c r="ZE803" s="16"/>
      <c r="ZF803" s="16"/>
      <c r="ZG803" s="16"/>
      <c r="ZH803" s="16"/>
      <c r="ZI803" s="16"/>
      <c r="ZJ803" s="16"/>
      <c r="ZK803" s="16"/>
      <c r="ZL803" s="16"/>
      <c r="ZM803" s="16"/>
      <c r="ZN803" s="16"/>
      <c r="ZO803" s="16"/>
      <c r="ZP803" s="16"/>
      <c r="ZQ803" s="16"/>
      <c r="ZR803" s="16"/>
      <c r="ZS803" s="16"/>
      <c r="ZT803" s="16"/>
      <c r="ZU803" s="16"/>
      <c r="ZV803" s="16"/>
      <c r="ZW803" s="16"/>
      <c r="ZX803" s="16"/>
      <c r="ZY803" s="16"/>
      <c r="ZZ803" s="16"/>
      <c r="AAA803" s="16"/>
      <c r="AAB803" s="16"/>
      <c r="AAC803" s="16"/>
      <c r="AAD803" s="16"/>
      <c r="AAE803" s="16"/>
      <c r="AAF803" s="16"/>
      <c r="AAG803" s="16"/>
      <c r="AAH803" s="16"/>
      <c r="AAI803" s="16"/>
      <c r="AAJ803" s="16"/>
      <c r="AAK803" s="16"/>
      <c r="AAL803" s="16"/>
      <c r="AAM803" s="16"/>
      <c r="AAN803" s="16"/>
      <c r="AAO803" s="16"/>
      <c r="AAP803" s="16"/>
      <c r="AAQ803" s="16"/>
      <c r="AAR803" s="16"/>
      <c r="AAS803" s="16"/>
      <c r="AAT803" s="16"/>
      <c r="AAU803" s="16"/>
      <c r="AAV803" s="16"/>
      <c r="AAW803" s="16"/>
      <c r="AAX803" s="16"/>
      <c r="AAY803" s="16"/>
      <c r="AAZ803" s="16"/>
      <c r="ABA803" s="16"/>
      <c r="ABB803" s="16"/>
      <c r="ABC803" s="16"/>
      <c r="ABD803" s="16"/>
      <c r="ABE803" s="16"/>
      <c r="ABF803" s="16"/>
      <c r="ABG803" s="16"/>
      <c r="ABH803" s="16"/>
      <c r="ABI803" s="16"/>
      <c r="ABJ803" s="16"/>
      <c r="ABK803" s="16"/>
      <c r="ABL803" s="16"/>
      <c r="ABM803" s="16"/>
      <c r="ABN803" s="16"/>
      <c r="ABO803" s="16"/>
      <c r="ABP803" s="16"/>
      <c r="ABQ803" s="16"/>
      <c r="ABR803" s="16"/>
      <c r="ABS803" s="16"/>
      <c r="ABT803" s="16"/>
      <c r="ABU803" s="16"/>
      <c r="ABV803" s="16"/>
      <c r="ABW803" s="16"/>
      <c r="ABX803" s="16"/>
      <c r="ABY803" s="16"/>
      <c r="ABZ803" s="16"/>
      <c r="ACA803" s="16"/>
      <c r="ACB803" s="16"/>
      <c r="ACC803" s="16"/>
      <c r="ACD803" s="16"/>
      <c r="ACE803" s="16"/>
      <c r="ACF803" s="16"/>
      <c r="ACG803" s="16"/>
      <c r="ACH803" s="16"/>
      <c r="ACI803" s="16"/>
      <c r="ACJ803" s="16"/>
      <c r="ACK803" s="16"/>
      <c r="ACL803" s="16"/>
      <c r="ACM803" s="16"/>
      <c r="ACN803" s="16"/>
      <c r="ACO803" s="16"/>
      <c r="ACP803" s="16"/>
      <c r="ACQ803" s="16"/>
      <c r="ACR803" s="16"/>
      <c r="ACS803" s="16"/>
      <c r="ACT803" s="16"/>
      <c r="ACU803" s="16"/>
      <c r="ACV803" s="16"/>
      <c r="ACW803" s="16"/>
      <c r="ACX803" s="16"/>
      <c r="ACY803" s="16"/>
      <c r="ACZ803" s="16"/>
      <c r="ADA803" s="16"/>
      <c r="ADB803" s="16"/>
      <c r="ADC803" s="16"/>
      <c r="ADD803" s="16"/>
      <c r="ADE803" s="16"/>
      <c r="ADF803" s="16"/>
      <c r="ADG803" s="16"/>
      <c r="ADH803" s="16"/>
      <c r="ADI803" s="16"/>
      <c r="ADJ803" s="16"/>
      <c r="ADK803" s="16"/>
      <c r="ADL803" s="16"/>
      <c r="ADM803" s="16"/>
      <c r="ADN803" s="16"/>
      <c r="ADO803" s="16"/>
      <c r="ADP803" s="16"/>
      <c r="ADQ803" s="16"/>
      <c r="ADR803" s="16"/>
      <c r="ADS803" s="16"/>
      <c r="ADT803" s="16"/>
      <c r="ADU803" s="16"/>
      <c r="ADV803" s="16"/>
      <c r="ADW803" s="16"/>
      <c r="ADX803" s="16"/>
      <c r="ADY803" s="16"/>
      <c r="ADZ803" s="16"/>
      <c r="AEA803" s="16"/>
      <c r="AEB803" s="16"/>
      <c r="AEC803" s="16"/>
      <c r="AED803" s="16"/>
      <c r="AEE803" s="16"/>
      <c r="AEF803" s="16"/>
      <c r="AEG803" s="16"/>
      <c r="AEH803" s="16"/>
      <c r="AEI803" s="16"/>
      <c r="AEJ803" s="16"/>
      <c r="AEK803" s="16"/>
      <c r="AEL803" s="16"/>
      <c r="AEM803" s="16"/>
      <c r="AEN803" s="16"/>
      <c r="AEO803" s="16"/>
      <c r="AEP803" s="16"/>
      <c r="AEQ803" s="16"/>
      <c r="AER803" s="16"/>
      <c r="AES803" s="16"/>
      <c r="AET803" s="16"/>
      <c r="AEU803" s="16"/>
      <c r="AEV803" s="16"/>
      <c r="AEW803" s="16"/>
      <c r="AEX803" s="16"/>
      <c r="AEY803" s="16"/>
      <c r="AEZ803" s="16"/>
      <c r="AFA803" s="16"/>
      <c r="AFB803" s="16"/>
      <c r="AFC803" s="16"/>
      <c r="AFD803" s="16"/>
      <c r="AFE803" s="16"/>
      <c r="AFF803" s="16"/>
      <c r="AFG803" s="16"/>
      <c r="AFH803" s="16"/>
      <c r="AFI803" s="16"/>
      <c r="AFJ803" s="16"/>
      <c r="AFK803" s="16"/>
      <c r="AFL803" s="16"/>
      <c r="AFM803" s="16"/>
      <c r="AFN803" s="16"/>
      <c r="AFO803" s="16"/>
      <c r="AFP803" s="16"/>
      <c r="AFQ803" s="16"/>
      <c r="AFR803" s="16"/>
      <c r="AFS803" s="16"/>
      <c r="AFT803" s="16"/>
      <c r="AFU803" s="16"/>
      <c r="AFV803" s="16"/>
      <c r="AFW803" s="16"/>
      <c r="AFX803" s="16"/>
      <c r="AFY803" s="16"/>
      <c r="AFZ803" s="16"/>
      <c r="AGA803" s="16"/>
      <c r="AGB803" s="16"/>
      <c r="AGC803" s="16"/>
      <c r="AGD803" s="16"/>
      <c r="AGE803" s="16"/>
      <c r="AGF803" s="16"/>
      <c r="AGG803" s="16"/>
      <c r="AGH803" s="16"/>
      <c r="AGI803" s="16"/>
      <c r="AGJ803" s="16"/>
    </row>
    <row r="804" spans="1:868" hidden="1">
      <c r="A804" s="151" t="s">
        <v>121</v>
      </c>
      <c r="B804" s="34" t="s">
        <v>347</v>
      </c>
      <c r="C804" s="40" t="s">
        <v>139</v>
      </c>
      <c r="D804" s="34" t="s">
        <v>99</v>
      </c>
      <c r="E804" s="257">
        <v>0</v>
      </c>
      <c r="F804" s="232">
        <v>1</v>
      </c>
      <c r="G804" s="40"/>
      <c r="H804" s="29"/>
      <c r="I804" s="9"/>
      <c r="J804" s="9"/>
      <c r="K804" s="9"/>
      <c r="L804" s="9"/>
      <c r="M804" s="9"/>
      <c r="N804" s="185" t="str">
        <f t="shared" si="51"/>
        <v/>
      </c>
      <c r="O804" s="159" t="str">
        <f t="shared" si="52"/>
        <v/>
      </c>
      <c r="P804" s="63"/>
    </row>
    <row r="805" spans="1:868" hidden="1">
      <c r="A805" s="151" t="s">
        <v>121</v>
      </c>
      <c r="B805" s="34" t="s">
        <v>238</v>
      </c>
      <c r="C805" s="40" t="s">
        <v>139</v>
      </c>
      <c r="D805" s="34" t="s">
        <v>85</v>
      </c>
      <c r="E805" s="257">
        <v>0</v>
      </c>
      <c r="F805" s="232">
        <v>1</v>
      </c>
      <c r="G805" s="40"/>
      <c r="H805" s="29"/>
      <c r="I805" s="9"/>
      <c r="J805" s="9"/>
      <c r="K805" s="9"/>
      <c r="L805" s="9"/>
      <c r="M805" s="9"/>
      <c r="N805" s="185" t="str">
        <f t="shared" si="51"/>
        <v/>
      </c>
      <c r="O805" s="159" t="str">
        <f t="shared" si="52"/>
        <v/>
      </c>
      <c r="P805" s="63"/>
    </row>
    <row r="806" spans="1:868" hidden="1">
      <c r="A806" s="151" t="s">
        <v>121</v>
      </c>
      <c r="B806" s="34" t="s">
        <v>238</v>
      </c>
      <c r="C806" s="40" t="s">
        <v>139</v>
      </c>
      <c r="D806" s="34" t="s">
        <v>86</v>
      </c>
      <c r="E806" s="257">
        <v>0</v>
      </c>
      <c r="F806" s="232">
        <v>1</v>
      </c>
      <c r="G806" s="40"/>
      <c r="H806" s="29"/>
      <c r="I806" s="9"/>
      <c r="J806" s="9"/>
      <c r="K806" s="9"/>
      <c r="L806" s="9"/>
      <c r="M806" s="9"/>
      <c r="N806" s="185" t="str">
        <f t="shared" si="51"/>
        <v/>
      </c>
      <c r="O806" s="159" t="str">
        <f t="shared" si="52"/>
        <v/>
      </c>
      <c r="P806" s="63"/>
    </row>
    <row r="807" spans="1:868" hidden="1">
      <c r="A807" s="151" t="s">
        <v>121</v>
      </c>
      <c r="B807" s="34" t="s">
        <v>238</v>
      </c>
      <c r="C807" s="40" t="s">
        <v>139</v>
      </c>
      <c r="D807" s="34" t="s">
        <v>87</v>
      </c>
      <c r="E807" s="257">
        <v>0.13862266398762429</v>
      </c>
      <c r="F807" s="232">
        <v>1</v>
      </c>
      <c r="G807" s="40"/>
      <c r="H807" s="29">
        <v>2</v>
      </c>
      <c r="I807" s="9">
        <v>2</v>
      </c>
      <c r="J807" s="9">
        <v>2</v>
      </c>
      <c r="K807" s="9">
        <v>2</v>
      </c>
      <c r="L807" s="9">
        <v>1</v>
      </c>
      <c r="M807" s="9">
        <v>2</v>
      </c>
      <c r="N807" s="185">
        <f t="shared" si="51"/>
        <v>0.38795788889711302</v>
      </c>
      <c r="O807" s="159">
        <f t="shared" si="52"/>
        <v>0.38795788889711302</v>
      </c>
      <c r="P807" s="63"/>
    </row>
    <row r="808" spans="1:868" hidden="1">
      <c r="A808" s="151" t="s">
        <v>121</v>
      </c>
      <c r="B808" s="34" t="s">
        <v>238</v>
      </c>
      <c r="C808" s="40" t="s">
        <v>139</v>
      </c>
      <c r="D808" s="34" t="s">
        <v>88</v>
      </c>
      <c r="E808" s="257">
        <v>0</v>
      </c>
      <c r="F808" s="232">
        <v>1</v>
      </c>
      <c r="G808" s="40"/>
      <c r="H808" s="29"/>
      <c r="I808" s="9"/>
      <c r="J808" s="9"/>
      <c r="K808" s="9"/>
      <c r="L808" s="9"/>
      <c r="M808" s="9"/>
      <c r="N808" s="185" t="str">
        <f t="shared" si="51"/>
        <v/>
      </c>
      <c r="O808" s="159" t="str">
        <f t="shared" si="52"/>
        <v/>
      </c>
      <c r="P808" s="63"/>
    </row>
    <row r="809" spans="1:868" hidden="1">
      <c r="A809" s="151" t="s">
        <v>121</v>
      </c>
      <c r="B809" s="34" t="s">
        <v>238</v>
      </c>
      <c r="C809" s="40" t="s">
        <v>139</v>
      </c>
      <c r="D809" s="34" t="s">
        <v>89</v>
      </c>
      <c r="E809" s="257">
        <v>0</v>
      </c>
      <c r="F809" s="232">
        <v>1</v>
      </c>
      <c r="G809" s="40"/>
      <c r="H809" s="29"/>
      <c r="I809" s="9"/>
      <c r="J809" s="9"/>
      <c r="K809" s="9"/>
      <c r="L809" s="9"/>
      <c r="M809" s="9"/>
      <c r="N809" s="185" t="str">
        <f t="shared" si="51"/>
        <v/>
      </c>
      <c r="O809" s="159" t="str">
        <f t="shared" si="52"/>
        <v/>
      </c>
      <c r="P809" s="63"/>
    </row>
    <row r="810" spans="1:868" hidden="1">
      <c r="A810" s="151" t="s">
        <v>121</v>
      </c>
      <c r="B810" s="34" t="s">
        <v>238</v>
      </c>
      <c r="C810" s="40" t="s">
        <v>139</v>
      </c>
      <c r="D810" s="34" t="s">
        <v>90</v>
      </c>
      <c r="E810" s="257">
        <v>0</v>
      </c>
      <c r="F810" s="232">
        <v>1</v>
      </c>
      <c r="G810" s="40"/>
      <c r="H810" s="29"/>
      <c r="I810" s="9"/>
      <c r="J810" s="9"/>
      <c r="K810" s="9"/>
      <c r="L810" s="9"/>
      <c r="M810" s="9"/>
      <c r="N810" s="185" t="str">
        <f t="shared" si="51"/>
        <v/>
      </c>
      <c r="O810" s="159" t="str">
        <f t="shared" si="52"/>
        <v/>
      </c>
      <c r="P810" s="63"/>
    </row>
    <row r="811" spans="1:868" s="833" customFormat="1" hidden="1">
      <c r="A811" s="151" t="s">
        <v>121</v>
      </c>
      <c r="B811" s="34" t="s">
        <v>238</v>
      </c>
      <c r="C811" s="40" t="s">
        <v>139</v>
      </c>
      <c r="D811" s="34" t="s">
        <v>91</v>
      </c>
      <c r="E811" s="257">
        <v>0.14560939849272989</v>
      </c>
      <c r="F811" s="232">
        <v>1</v>
      </c>
      <c r="G811" s="40"/>
      <c r="H811" s="29">
        <v>2</v>
      </c>
      <c r="I811" s="9">
        <v>2</v>
      </c>
      <c r="J811" s="9">
        <v>2</v>
      </c>
      <c r="K811" s="9">
        <v>2</v>
      </c>
      <c r="L811" s="9">
        <v>1</v>
      </c>
      <c r="M811" s="9">
        <v>2</v>
      </c>
      <c r="N811" s="185">
        <f t="shared" ref="N811:N828" si="53">IF( OR( ISBLANK(H811),ISBLANK(J811), ISBLANK(K811), ISBLANK(L811), ISBLANK(M811) ), "", 1.5*SQRT(   EXP(2.21*(H811-1)) + EXP(2.21*(J811-1)) + EXP(2.21*(K811-1)) + EXP(2.21*(L811-1)) + EXP(2.21*M811)   )/100*2.45 )</f>
        <v>0.38795788889711302</v>
      </c>
      <c r="O811" s="159">
        <f t="shared" ref="O811:O828" si="54">IF( OR( ISBLANK(I811),ISBLANK(J811), ISBLANK(K811), ISBLANK(L811), ISBLANK(M811) ), "", 1.5*SQRT( EXP(2.21*(I811-1)) + EXP(2.21*(J811-1)) + EXP(2.21*(K811-1)) + EXP(2.21*(L811-1)) + EXP(2.21*M811)   )/100*2.45 )</f>
        <v>0.38795788889711302</v>
      </c>
      <c r="P811" s="63"/>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c r="OP811" s="16"/>
      <c r="OQ811" s="16"/>
      <c r="OR811" s="16"/>
      <c r="OS811" s="16"/>
      <c r="OT811" s="16"/>
      <c r="OU811" s="16"/>
      <c r="OV811" s="16"/>
      <c r="OW811" s="16"/>
      <c r="OX811" s="16"/>
      <c r="OY811" s="16"/>
      <c r="OZ811" s="16"/>
      <c r="PA811" s="16"/>
      <c r="PB811" s="16"/>
      <c r="PC811" s="16"/>
      <c r="PD811" s="16"/>
      <c r="PE811" s="16"/>
      <c r="PF811" s="16"/>
      <c r="PG811" s="16"/>
      <c r="PH811" s="16"/>
      <c r="PI811" s="16"/>
      <c r="PJ811" s="16"/>
      <c r="PK811" s="16"/>
      <c r="PL811" s="16"/>
      <c r="PM811" s="16"/>
      <c r="PN811" s="16"/>
      <c r="PO811" s="16"/>
      <c r="PP811" s="16"/>
      <c r="PQ811" s="16"/>
      <c r="PR811" s="16"/>
      <c r="PS811" s="16"/>
      <c r="PT811" s="16"/>
      <c r="PU811" s="16"/>
      <c r="PV811" s="16"/>
      <c r="PW811" s="16"/>
      <c r="PX811" s="16"/>
      <c r="PY811" s="16"/>
      <c r="PZ811" s="16"/>
      <c r="QA811" s="16"/>
      <c r="QB811" s="16"/>
      <c r="QC811" s="16"/>
      <c r="QD811" s="16"/>
      <c r="QE811" s="16"/>
      <c r="QF811" s="16"/>
      <c r="QG811" s="16"/>
      <c r="QH811" s="16"/>
      <c r="QI811" s="16"/>
      <c r="QJ811" s="16"/>
      <c r="QK811" s="16"/>
      <c r="QL811" s="16"/>
      <c r="QM811" s="16"/>
      <c r="QN811" s="16"/>
      <c r="QO811" s="16"/>
      <c r="QP811" s="16"/>
      <c r="QQ811" s="16"/>
      <c r="QR811" s="16"/>
      <c r="QS811" s="16"/>
      <c r="QT811" s="16"/>
      <c r="QU811" s="16"/>
      <c r="QV811" s="16"/>
      <c r="QW811" s="16"/>
      <c r="QX811" s="16"/>
      <c r="QY811" s="16"/>
      <c r="QZ811" s="16"/>
      <c r="RA811" s="16"/>
      <c r="RB811" s="16"/>
      <c r="RC811" s="16"/>
      <c r="RD811" s="16"/>
      <c r="RE811" s="16"/>
      <c r="RF811" s="16"/>
      <c r="RG811" s="16"/>
      <c r="RH811" s="16"/>
      <c r="RI811" s="16"/>
      <c r="RJ811" s="16"/>
      <c r="RK811" s="16"/>
      <c r="RL811" s="16"/>
      <c r="RM811" s="16"/>
      <c r="RN811" s="16"/>
      <c r="RO811" s="16"/>
      <c r="RP811" s="16"/>
      <c r="RQ811" s="16"/>
      <c r="RR811" s="16"/>
      <c r="RS811" s="16"/>
      <c r="RT811" s="16"/>
      <c r="RU811" s="16"/>
      <c r="RV811" s="16"/>
      <c r="RW811" s="16"/>
      <c r="RX811" s="16"/>
      <c r="RY811" s="16"/>
      <c r="RZ811" s="16"/>
      <c r="SA811" s="16"/>
      <c r="SB811" s="16"/>
      <c r="SC811" s="16"/>
      <c r="SD811" s="16"/>
      <c r="SE811" s="16"/>
      <c r="SF811" s="16"/>
      <c r="SG811" s="16"/>
      <c r="SH811" s="16"/>
      <c r="SI811" s="16"/>
      <c r="SJ811" s="16"/>
      <c r="SK811" s="16"/>
      <c r="SL811" s="16"/>
      <c r="SM811" s="16"/>
      <c r="SN811" s="16"/>
      <c r="SO811" s="16"/>
      <c r="SP811" s="16"/>
      <c r="SQ811" s="16"/>
      <c r="SR811" s="16"/>
      <c r="SS811" s="16"/>
      <c r="ST811" s="16"/>
      <c r="SU811" s="16"/>
      <c r="SV811" s="16"/>
      <c r="SW811" s="16"/>
      <c r="SX811" s="16"/>
      <c r="SY811" s="16"/>
      <c r="SZ811" s="16"/>
      <c r="TA811" s="16"/>
      <c r="TB811" s="16"/>
      <c r="TC811" s="16"/>
      <c r="TD811" s="16"/>
      <c r="TE811" s="16"/>
      <c r="TF811" s="16"/>
      <c r="TG811" s="16"/>
      <c r="TH811" s="16"/>
      <c r="TI811" s="16"/>
      <c r="TJ811" s="16"/>
      <c r="TK811" s="16"/>
      <c r="TL811" s="16"/>
      <c r="TM811" s="16"/>
      <c r="TN811" s="16"/>
      <c r="TO811" s="16"/>
      <c r="TP811" s="16"/>
      <c r="TQ811" s="16"/>
      <c r="TR811" s="16"/>
      <c r="TS811" s="16"/>
      <c r="TT811" s="16"/>
      <c r="TU811" s="16"/>
      <c r="TV811" s="16"/>
      <c r="TW811" s="16"/>
      <c r="TX811" s="16"/>
      <c r="TY811" s="16"/>
      <c r="TZ811" s="16"/>
      <c r="UA811" s="16"/>
      <c r="UB811" s="16"/>
      <c r="UC811" s="16"/>
      <c r="UD811" s="16"/>
      <c r="UE811" s="16"/>
      <c r="UF811" s="16"/>
      <c r="UG811" s="16"/>
      <c r="UH811" s="16"/>
      <c r="UI811" s="16"/>
      <c r="UJ811" s="16"/>
      <c r="UK811" s="16"/>
      <c r="UL811" s="16"/>
      <c r="UM811" s="16"/>
      <c r="UN811" s="16"/>
      <c r="UO811" s="16"/>
      <c r="UP811" s="16"/>
      <c r="UQ811" s="16"/>
      <c r="UR811" s="16"/>
      <c r="US811" s="16"/>
      <c r="UT811" s="16"/>
      <c r="UU811" s="16"/>
      <c r="UV811" s="16"/>
      <c r="UW811" s="16"/>
      <c r="UX811" s="16"/>
      <c r="UY811" s="16"/>
      <c r="UZ811" s="16"/>
      <c r="VA811" s="16"/>
      <c r="VB811" s="16"/>
      <c r="VC811" s="16"/>
      <c r="VD811" s="16"/>
      <c r="VE811" s="16"/>
      <c r="VF811" s="16"/>
      <c r="VG811" s="16"/>
      <c r="VH811" s="16"/>
      <c r="VI811" s="16"/>
      <c r="VJ811" s="16"/>
      <c r="VK811" s="16"/>
      <c r="VL811" s="16"/>
      <c r="VM811" s="16"/>
      <c r="VN811" s="16"/>
      <c r="VO811" s="16"/>
      <c r="VP811" s="16"/>
      <c r="VQ811" s="16"/>
      <c r="VR811" s="16"/>
      <c r="VS811" s="16"/>
      <c r="VT811" s="16"/>
      <c r="VU811" s="16"/>
      <c r="VV811" s="16"/>
      <c r="VW811" s="16"/>
      <c r="VX811" s="16"/>
      <c r="VY811" s="16"/>
      <c r="VZ811" s="16"/>
      <c r="WA811" s="16"/>
      <c r="WB811" s="16"/>
      <c r="WC811" s="16"/>
      <c r="WD811" s="16"/>
      <c r="WE811" s="16"/>
      <c r="WF811" s="16"/>
      <c r="WG811" s="16"/>
      <c r="WH811" s="16"/>
      <c r="WI811" s="16"/>
      <c r="WJ811" s="16"/>
      <c r="WK811" s="16"/>
      <c r="WL811" s="16"/>
      <c r="WM811" s="16"/>
      <c r="WN811" s="16"/>
      <c r="WO811" s="16"/>
      <c r="WP811" s="16"/>
      <c r="WQ811" s="16"/>
      <c r="WR811" s="16"/>
      <c r="WS811" s="16"/>
      <c r="WT811" s="16"/>
      <c r="WU811" s="16"/>
      <c r="WV811" s="16"/>
      <c r="WW811" s="16"/>
      <c r="WX811" s="16"/>
      <c r="WY811" s="16"/>
      <c r="WZ811" s="16"/>
      <c r="XA811" s="16"/>
      <c r="XB811" s="16"/>
      <c r="XC811" s="16"/>
      <c r="XD811" s="16"/>
      <c r="XE811" s="16"/>
      <c r="XF811" s="16"/>
      <c r="XG811" s="16"/>
      <c r="XH811" s="16"/>
      <c r="XI811" s="16"/>
      <c r="XJ811" s="16"/>
      <c r="XK811" s="16"/>
      <c r="XL811" s="16"/>
      <c r="XM811" s="16"/>
      <c r="XN811" s="16"/>
      <c r="XO811" s="16"/>
      <c r="XP811" s="16"/>
      <c r="XQ811" s="16"/>
      <c r="XR811" s="16"/>
      <c r="XS811" s="16"/>
      <c r="XT811" s="16"/>
      <c r="XU811" s="16"/>
      <c r="XV811" s="16"/>
      <c r="XW811" s="16"/>
      <c r="XX811" s="16"/>
      <c r="XY811" s="16"/>
      <c r="XZ811" s="16"/>
      <c r="YA811" s="16"/>
      <c r="YB811" s="16"/>
      <c r="YC811" s="16"/>
      <c r="YD811" s="16"/>
      <c r="YE811" s="16"/>
      <c r="YF811" s="16"/>
      <c r="YG811" s="16"/>
      <c r="YH811" s="16"/>
      <c r="YI811" s="16"/>
      <c r="YJ811" s="16"/>
      <c r="YK811" s="16"/>
      <c r="YL811" s="16"/>
      <c r="YM811" s="16"/>
      <c r="YN811" s="16"/>
      <c r="YO811" s="16"/>
      <c r="YP811" s="16"/>
      <c r="YQ811" s="16"/>
      <c r="YR811" s="16"/>
      <c r="YS811" s="16"/>
      <c r="YT811" s="16"/>
      <c r="YU811" s="16"/>
      <c r="YV811" s="16"/>
      <c r="YW811" s="16"/>
      <c r="YX811" s="16"/>
      <c r="YY811" s="16"/>
      <c r="YZ811" s="16"/>
      <c r="ZA811" s="16"/>
      <c r="ZB811" s="16"/>
      <c r="ZC811" s="16"/>
      <c r="ZD811" s="16"/>
      <c r="ZE811" s="16"/>
      <c r="ZF811" s="16"/>
      <c r="ZG811" s="16"/>
      <c r="ZH811" s="16"/>
      <c r="ZI811" s="16"/>
      <c r="ZJ811" s="16"/>
      <c r="ZK811" s="16"/>
      <c r="ZL811" s="16"/>
      <c r="ZM811" s="16"/>
      <c r="ZN811" s="16"/>
      <c r="ZO811" s="16"/>
      <c r="ZP811" s="16"/>
      <c r="ZQ811" s="16"/>
      <c r="ZR811" s="16"/>
      <c r="ZS811" s="16"/>
      <c r="ZT811" s="16"/>
      <c r="ZU811" s="16"/>
      <c r="ZV811" s="16"/>
      <c r="ZW811" s="16"/>
      <c r="ZX811" s="16"/>
      <c r="ZY811" s="16"/>
      <c r="ZZ811" s="16"/>
      <c r="AAA811" s="16"/>
      <c r="AAB811" s="16"/>
      <c r="AAC811" s="16"/>
      <c r="AAD811" s="16"/>
      <c r="AAE811" s="16"/>
      <c r="AAF811" s="16"/>
      <c r="AAG811" s="16"/>
      <c r="AAH811" s="16"/>
      <c r="AAI811" s="16"/>
      <c r="AAJ811" s="16"/>
      <c r="AAK811" s="16"/>
      <c r="AAL811" s="16"/>
      <c r="AAM811" s="16"/>
      <c r="AAN811" s="16"/>
      <c r="AAO811" s="16"/>
      <c r="AAP811" s="16"/>
      <c r="AAQ811" s="16"/>
      <c r="AAR811" s="16"/>
      <c r="AAS811" s="16"/>
      <c r="AAT811" s="16"/>
      <c r="AAU811" s="16"/>
      <c r="AAV811" s="16"/>
      <c r="AAW811" s="16"/>
      <c r="AAX811" s="16"/>
      <c r="AAY811" s="16"/>
      <c r="AAZ811" s="16"/>
      <c r="ABA811" s="16"/>
      <c r="ABB811" s="16"/>
      <c r="ABC811" s="16"/>
      <c r="ABD811" s="16"/>
      <c r="ABE811" s="16"/>
      <c r="ABF811" s="16"/>
      <c r="ABG811" s="16"/>
      <c r="ABH811" s="16"/>
      <c r="ABI811" s="16"/>
      <c r="ABJ811" s="16"/>
      <c r="ABK811" s="16"/>
      <c r="ABL811" s="16"/>
      <c r="ABM811" s="16"/>
      <c r="ABN811" s="16"/>
      <c r="ABO811" s="16"/>
      <c r="ABP811" s="16"/>
      <c r="ABQ811" s="16"/>
      <c r="ABR811" s="16"/>
      <c r="ABS811" s="16"/>
      <c r="ABT811" s="16"/>
      <c r="ABU811" s="16"/>
      <c r="ABV811" s="16"/>
      <c r="ABW811" s="16"/>
      <c r="ABX811" s="16"/>
      <c r="ABY811" s="16"/>
      <c r="ABZ811" s="16"/>
      <c r="ACA811" s="16"/>
      <c r="ACB811" s="16"/>
      <c r="ACC811" s="16"/>
      <c r="ACD811" s="16"/>
      <c r="ACE811" s="16"/>
      <c r="ACF811" s="16"/>
      <c r="ACG811" s="16"/>
      <c r="ACH811" s="16"/>
      <c r="ACI811" s="16"/>
      <c r="ACJ811" s="16"/>
      <c r="ACK811" s="16"/>
      <c r="ACL811" s="16"/>
      <c r="ACM811" s="16"/>
      <c r="ACN811" s="16"/>
      <c r="ACO811" s="16"/>
      <c r="ACP811" s="16"/>
      <c r="ACQ811" s="16"/>
      <c r="ACR811" s="16"/>
      <c r="ACS811" s="16"/>
      <c r="ACT811" s="16"/>
      <c r="ACU811" s="16"/>
      <c r="ACV811" s="16"/>
      <c r="ACW811" s="16"/>
      <c r="ACX811" s="16"/>
      <c r="ACY811" s="16"/>
      <c r="ACZ811" s="16"/>
      <c r="ADA811" s="16"/>
      <c r="ADB811" s="16"/>
      <c r="ADC811" s="16"/>
      <c r="ADD811" s="16"/>
      <c r="ADE811" s="16"/>
      <c r="ADF811" s="16"/>
      <c r="ADG811" s="16"/>
      <c r="ADH811" s="16"/>
      <c r="ADI811" s="16"/>
      <c r="ADJ811" s="16"/>
      <c r="ADK811" s="16"/>
      <c r="ADL811" s="16"/>
      <c r="ADM811" s="16"/>
      <c r="ADN811" s="16"/>
      <c r="ADO811" s="16"/>
      <c r="ADP811" s="16"/>
      <c r="ADQ811" s="16"/>
      <c r="ADR811" s="16"/>
      <c r="ADS811" s="16"/>
      <c r="ADT811" s="16"/>
      <c r="ADU811" s="16"/>
      <c r="ADV811" s="16"/>
      <c r="ADW811" s="16"/>
      <c r="ADX811" s="16"/>
      <c r="ADY811" s="16"/>
      <c r="ADZ811" s="16"/>
      <c r="AEA811" s="16"/>
      <c r="AEB811" s="16"/>
      <c r="AEC811" s="16"/>
      <c r="AED811" s="16"/>
      <c r="AEE811" s="16"/>
      <c r="AEF811" s="16"/>
      <c r="AEG811" s="16"/>
      <c r="AEH811" s="16"/>
      <c r="AEI811" s="16"/>
      <c r="AEJ811" s="16"/>
      <c r="AEK811" s="16"/>
      <c r="AEL811" s="16"/>
      <c r="AEM811" s="16"/>
      <c r="AEN811" s="16"/>
      <c r="AEO811" s="16"/>
      <c r="AEP811" s="16"/>
      <c r="AEQ811" s="16"/>
      <c r="AER811" s="16"/>
      <c r="AES811" s="16"/>
      <c r="AET811" s="16"/>
      <c r="AEU811" s="16"/>
      <c r="AEV811" s="16"/>
      <c r="AEW811" s="16"/>
      <c r="AEX811" s="16"/>
      <c r="AEY811" s="16"/>
      <c r="AEZ811" s="16"/>
      <c r="AFA811" s="16"/>
      <c r="AFB811" s="16"/>
      <c r="AFC811" s="16"/>
      <c r="AFD811" s="16"/>
      <c r="AFE811" s="16"/>
      <c r="AFF811" s="16"/>
      <c r="AFG811" s="16"/>
      <c r="AFH811" s="16"/>
      <c r="AFI811" s="16"/>
      <c r="AFJ811" s="16"/>
      <c r="AFK811" s="16"/>
      <c r="AFL811" s="16"/>
      <c r="AFM811" s="16"/>
      <c r="AFN811" s="16"/>
      <c r="AFO811" s="16"/>
      <c r="AFP811" s="16"/>
      <c r="AFQ811" s="16"/>
      <c r="AFR811" s="16"/>
      <c r="AFS811" s="16"/>
      <c r="AFT811" s="16"/>
      <c r="AFU811" s="16"/>
      <c r="AFV811" s="16"/>
      <c r="AFW811" s="16"/>
      <c r="AFX811" s="16"/>
      <c r="AFY811" s="16"/>
      <c r="AFZ811" s="16"/>
      <c r="AGA811" s="16"/>
      <c r="AGB811" s="16"/>
      <c r="AGC811" s="16"/>
      <c r="AGD811" s="16"/>
      <c r="AGE811" s="16"/>
      <c r="AGF811" s="16"/>
      <c r="AGG811" s="16"/>
      <c r="AGH811" s="16"/>
      <c r="AGI811" s="16"/>
      <c r="AGJ811" s="16"/>
    </row>
    <row r="812" spans="1:868" hidden="1">
      <c r="A812" s="151" t="s">
        <v>121</v>
      </c>
      <c r="B812" s="34" t="s">
        <v>238</v>
      </c>
      <c r="C812" s="40" t="s">
        <v>139</v>
      </c>
      <c r="D812" s="34" t="s">
        <v>95</v>
      </c>
      <c r="E812" s="257">
        <v>0.11212684313172752</v>
      </c>
      <c r="F812" s="232">
        <v>1</v>
      </c>
      <c r="G812" s="40"/>
      <c r="H812" s="29">
        <v>2</v>
      </c>
      <c r="I812" s="9">
        <v>2</v>
      </c>
      <c r="J812" s="9">
        <v>2</v>
      </c>
      <c r="K812" s="9">
        <v>2</v>
      </c>
      <c r="L812" s="9">
        <v>1</v>
      </c>
      <c r="M812" s="9">
        <v>2</v>
      </c>
      <c r="N812" s="185">
        <f t="shared" si="53"/>
        <v>0.38795788889711302</v>
      </c>
      <c r="O812" s="159">
        <f t="shared" si="54"/>
        <v>0.38795788889711302</v>
      </c>
      <c r="P812" s="63"/>
    </row>
    <row r="813" spans="1:868" hidden="1">
      <c r="A813" s="151" t="s">
        <v>121</v>
      </c>
      <c r="B813" s="34" t="s">
        <v>238</v>
      </c>
      <c r="C813" s="40" t="s">
        <v>139</v>
      </c>
      <c r="D813" s="34" t="s">
        <v>99</v>
      </c>
      <c r="E813" s="257">
        <v>0</v>
      </c>
      <c r="F813" s="232">
        <v>1</v>
      </c>
      <c r="G813" s="40"/>
      <c r="H813" s="29"/>
      <c r="I813" s="9"/>
      <c r="J813" s="9"/>
      <c r="K813" s="9"/>
      <c r="L813" s="9"/>
      <c r="M813" s="9"/>
      <c r="N813" s="185" t="str">
        <f t="shared" si="53"/>
        <v/>
      </c>
      <c r="O813" s="159" t="str">
        <f t="shared" si="54"/>
        <v/>
      </c>
      <c r="P813" s="63"/>
    </row>
    <row r="814" spans="1:868" hidden="1">
      <c r="A814" s="151" t="s">
        <v>121</v>
      </c>
      <c r="B814" s="34" t="s">
        <v>354</v>
      </c>
      <c r="C814" s="40" t="s">
        <v>139</v>
      </c>
      <c r="D814" s="34" t="s">
        <v>85</v>
      </c>
      <c r="E814" s="257">
        <v>0</v>
      </c>
      <c r="F814" s="232">
        <v>1</v>
      </c>
      <c r="G814" s="40"/>
      <c r="H814" s="29"/>
      <c r="I814" s="9"/>
      <c r="J814" s="9"/>
      <c r="K814" s="9"/>
      <c r="L814" s="9"/>
      <c r="M814" s="9"/>
      <c r="N814" s="185" t="str">
        <f t="shared" si="53"/>
        <v/>
      </c>
      <c r="O814" s="159" t="str">
        <f t="shared" si="54"/>
        <v/>
      </c>
      <c r="P814" s="63"/>
    </row>
    <row r="815" spans="1:868" hidden="1">
      <c r="A815" s="151" t="s">
        <v>121</v>
      </c>
      <c r="B815" s="34" t="s">
        <v>354</v>
      </c>
      <c r="C815" s="40" t="s">
        <v>139</v>
      </c>
      <c r="D815" s="34" t="s">
        <v>86</v>
      </c>
      <c r="E815" s="257">
        <v>0</v>
      </c>
      <c r="F815" s="232">
        <v>1</v>
      </c>
      <c r="G815" s="40"/>
      <c r="H815" s="29"/>
      <c r="I815" s="9"/>
      <c r="J815" s="9"/>
      <c r="K815" s="9"/>
      <c r="L815" s="9"/>
      <c r="M815" s="9"/>
      <c r="N815" s="185" t="str">
        <f t="shared" si="53"/>
        <v/>
      </c>
      <c r="O815" s="159" t="str">
        <f t="shared" si="54"/>
        <v/>
      </c>
      <c r="P815" s="63"/>
    </row>
    <row r="816" spans="1:868" s="210" customFormat="1" ht="15" hidden="1" thickBot="1">
      <c r="A816" s="151" t="s">
        <v>121</v>
      </c>
      <c r="B816" s="34" t="s">
        <v>354</v>
      </c>
      <c r="C816" s="40" t="s">
        <v>139</v>
      </c>
      <c r="D816" s="34" t="s">
        <v>87</v>
      </c>
      <c r="E816" s="257">
        <v>0.23131990255872262</v>
      </c>
      <c r="F816" s="232">
        <v>1</v>
      </c>
      <c r="G816" s="40"/>
      <c r="H816" s="29">
        <v>3</v>
      </c>
      <c r="I816" s="9">
        <v>3</v>
      </c>
      <c r="J816" s="9">
        <v>2</v>
      </c>
      <c r="K816" s="9">
        <v>2</v>
      </c>
      <c r="L816" s="9">
        <v>1</v>
      </c>
      <c r="M816" s="9">
        <v>2</v>
      </c>
      <c r="N816" s="185">
        <f t="shared" si="53"/>
        <v>0.50042652380814845</v>
      </c>
      <c r="O816" s="159">
        <f t="shared" si="54"/>
        <v>0.50042652380814845</v>
      </c>
      <c r="P816" s="63"/>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16"/>
      <c r="JV816" s="16"/>
      <c r="JW816" s="16"/>
      <c r="JX816" s="16"/>
      <c r="JY816" s="16"/>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6"/>
      <c r="LF816" s="16"/>
      <c r="LG816" s="16"/>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c r="MM816" s="16"/>
      <c r="MN816" s="16"/>
      <c r="MO816" s="16"/>
      <c r="MP816" s="16"/>
      <c r="MQ816" s="16"/>
      <c r="MR816" s="16"/>
      <c r="MS816" s="16"/>
      <c r="MT816" s="16"/>
      <c r="MU816" s="16"/>
      <c r="MV816" s="16"/>
      <c r="MW816" s="16"/>
      <c r="MX816" s="16"/>
      <c r="MY816" s="16"/>
      <c r="MZ816" s="16"/>
      <c r="NA816" s="16"/>
      <c r="NB816" s="16"/>
      <c r="NC816" s="16"/>
      <c r="ND816" s="16"/>
      <c r="NE816" s="16"/>
      <c r="NF816" s="16"/>
      <c r="NG816" s="16"/>
      <c r="NH816" s="16"/>
      <c r="NI816" s="16"/>
      <c r="NJ816" s="16"/>
      <c r="NK816" s="16"/>
      <c r="NL816" s="16"/>
      <c r="NM816" s="16"/>
      <c r="NN816" s="16"/>
      <c r="NO816" s="16"/>
      <c r="NP816" s="16"/>
      <c r="NQ816" s="16"/>
      <c r="NR816" s="16"/>
      <c r="NS816" s="16"/>
      <c r="NT816" s="16"/>
      <c r="NU816" s="16"/>
      <c r="NV816" s="16"/>
      <c r="NW816" s="16"/>
      <c r="NX816" s="16"/>
      <c r="NY816" s="16"/>
      <c r="NZ816" s="16"/>
      <c r="OA816" s="16"/>
      <c r="OB816" s="16"/>
      <c r="OC816" s="16"/>
      <c r="OD816" s="16"/>
      <c r="OE816" s="16"/>
      <c r="OF816" s="16"/>
      <c r="OG816" s="16"/>
      <c r="OH816" s="16"/>
      <c r="OI816" s="16"/>
      <c r="OJ816" s="16"/>
      <c r="OK816" s="16"/>
      <c r="OL816" s="16"/>
      <c r="OM816" s="16"/>
      <c r="ON816" s="16"/>
      <c r="OO816" s="16"/>
      <c r="OP816" s="16"/>
      <c r="OQ816" s="16"/>
      <c r="OR816" s="16"/>
      <c r="OS816" s="16"/>
      <c r="OT816" s="16"/>
      <c r="OU816" s="16"/>
      <c r="OV816" s="16"/>
      <c r="OW816" s="16"/>
      <c r="OX816" s="16"/>
      <c r="OY816" s="16"/>
      <c r="OZ816" s="16"/>
      <c r="PA816" s="16"/>
      <c r="PB816" s="16"/>
      <c r="PC816" s="16"/>
      <c r="PD816" s="16"/>
      <c r="PE816" s="16"/>
      <c r="PF816" s="16"/>
      <c r="PG816" s="16"/>
      <c r="PH816" s="16"/>
      <c r="PI816" s="16"/>
      <c r="PJ816" s="16"/>
      <c r="PK816" s="16"/>
      <c r="PL816" s="16"/>
      <c r="PM816" s="16"/>
      <c r="PN816" s="16"/>
      <c r="PO816" s="16"/>
      <c r="PP816" s="16"/>
      <c r="PQ816" s="16"/>
      <c r="PR816" s="16"/>
      <c r="PS816" s="16"/>
      <c r="PT816" s="16"/>
      <c r="PU816" s="16"/>
      <c r="PV816" s="16"/>
      <c r="PW816" s="16"/>
      <c r="PX816" s="16"/>
      <c r="PY816" s="16"/>
      <c r="PZ816" s="16"/>
      <c r="QA816" s="16"/>
      <c r="QB816" s="16"/>
      <c r="QC816" s="16"/>
      <c r="QD816" s="16"/>
      <c r="QE816" s="16"/>
      <c r="QF816" s="16"/>
      <c r="QG816" s="16"/>
      <c r="QH816" s="16"/>
      <c r="QI816" s="16"/>
      <c r="QJ816" s="16"/>
      <c r="QK816" s="16"/>
      <c r="QL816" s="16"/>
      <c r="QM816" s="16"/>
      <c r="QN816" s="16"/>
      <c r="QO816" s="16"/>
      <c r="QP816" s="16"/>
      <c r="QQ816" s="16"/>
      <c r="QR816" s="16"/>
      <c r="QS816" s="16"/>
      <c r="QT816" s="16"/>
      <c r="QU816" s="16"/>
      <c r="QV816" s="16"/>
      <c r="QW816" s="16"/>
      <c r="QX816" s="16"/>
      <c r="QY816" s="16"/>
      <c r="QZ816" s="16"/>
      <c r="RA816" s="16"/>
      <c r="RB816" s="16"/>
      <c r="RC816" s="16"/>
      <c r="RD816" s="16"/>
      <c r="RE816" s="16"/>
      <c r="RF816" s="16"/>
      <c r="RG816" s="16"/>
      <c r="RH816" s="16"/>
      <c r="RI816" s="16"/>
      <c r="RJ816" s="16"/>
      <c r="RK816" s="16"/>
      <c r="RL816" s="16"/>
      <c r="RM816" s="16"/>
      <c r="RN816" s="16"/>
      <c r="RO816" s="16"/>
      <c r="RP816" s="16"/>
      <c r="RQ816" s="16"/>
      <c r="RR816" s="16"/>
      <c r="RS816" s="16"/>
      <c r="RT816" s="16"/>
      <c r="RU816" s="16"/>
      <c r="RV816" s="16"/>
      <c r="RW816" s="16"/>
      <c r="RX816" s="16"/>
      <c r="RY816" s="16"/>
      <c r="RZ816" s="16"/>
      <c r="SA816" s="16"/>
      <c r="SB816" s="16"/>
      <c r="SC816" s="16"/>
      <c r="SD816" s="16"/>
      <c r="SE816" s="16"/>
      <c r="SF816" s="16"/>
      <c r="SG816" s="16"/>
      <c r="SH816" s="16"/>
      <c r="SI816" s="16"/>
      <c r="SJ816" s="16"/>
      <c r="SK816" s="16"/>
      <c r="SL816" s="16"/>
      <c r="SM816" s="16"/>
      <c r="SN816" s="16"/>
      <c r="SO816" s="16"/>
      <c r="SP816" s="16"/>
      <c r="SQ816" s="16"/>
      <c r="SR816" s="16"/>
      <c r="SS816" s="16"/>
      <c r="ST816" s="16"/>
      <c r="SU816" s="16"/>
      <c r="SV816" s="16"/>
      <c r="SW816" s="16"/>
      <c r="SX816" s="16"/>
      <c r="SY816" s="16"/>
      <c r="SZ816" s="16"/>
      <c r="TA816" s="16"/>
      <c r="TB816" s="16"/>
      <c r="TC816" s="16"/>
      <c r="TD816" s="16"/>
      <c r="TE816" s="16"/>
      <c r="TF816" s="16"/>
      <c r="TG816" s="16"/>
      <c r="TH816" s="16"/>
      <c r="TI816" s="16"/>
      <c r="TJ816" s="16"/>
      <c r="TK816" s="16"/>
      <c r="TL816" s="16"/>
      <c r="TM816" s="16"/>
      <c r="TN816" s="16"/>
      <c r="TO816" s="16"/>
      <c r="TP816" s="16"/>
      <c r="TQ816" s="16"/>
      <c r="TR816" s="16"/>
      <c r="TS816" s="16"/>
      <c r="TT816" s="16"/>
      <c r="TU816" s="16"/>
      <c r="TV816" s="16"/>
      <c r="TW816" s="16"/>
      <c r="TX816" s="16"/>
      <c r="TY816" s="16"/>
      <c r="TZ816" s="16"/>
      <c r="UA816" s="16"/>
      <c r="UB816" s="16"/>
      <c r="UC816" s="16"/>
      <c r="UD816" s="16"/>
      <c r="UE816" s="16"/>
      <c r="UF816" s="16"/>
      <c r="UG816" s="16"/>
      <c r="UH816" s="16"/>
      <c r="UI816" s="16"/>
      <c r="UJ816" s="16"/>
      <c r="UK816" s="16"/>
      <c r="UL816" s="16"/>
      <c r="UM816" s="16"/>
      <c r="UN816" s="16"/>
      <c r="UO816" s="16"/>
      <c r="UP816" s="16"/>
      <c r="UQ816" s="16"/>
      <c r="UR816" s="16"/>
      <c r="US816" s="16"/>
      <c r="UT816" s="16"/>
      <c r="UU816" s="16"/>
      <c r="UV816" s="16"/>
      <c r="UW816" s="16"/>
      <c r="UX816" s="16"/>
      <c r="UY816" s="16"/>
      <c r="UZ816" s="16"/>
      <c r="VA816" s="16"/>
      <c r="VB816" s="16"/>
      <c r="VC816" s="16"/>
      <c r="VD816" s="16"/>
      <c r="VE816" s="16"/>
      <c r="VF816" s="16"/>
      <c r="VG816" s="16"/>
      <c r="VH816" s="16"/>
      <c r="VI816" s="16"/>
      <c r="VJ816" s="16"/>
      <c r="VK816" s="16"/>
      <c r="VL816" s="16"/>
      <c r="VM816" s="16"/>
      <c r="VN816" s="16"/>
      <c r="VO816" s="16"/>
      <c r="VP816" s="16"/>
      <c r="VQ816" s="16"/>
      <c r="VR816" s="16"/>
      <c r="VS816" s="16"/>
      <c r="VT816" s="16"/>
      <c r="VU816" s="16"/>
      <c r="VV816" s="16"/>
      <c r="VW816" s="16"/>
      <c r="VX816" s="16"/>
      <c r="VY816" s="16"/>
      <c r="VZ816" s="16"/>
      <c r="WA816" s="16"/>
      <c r="WB816" s="16"/>
      <c r="WC816" s="16"/>
      <c r="WD816" s="16"/>
      <c r="WE816" s="16"/>
      <c r="WF816" s="16"/>
      <c r="WG816" s="16"/>
      <c r="WH816" s="16"/>
      <c r="WI816" s="16"/>
      <c r="WJ816" s="16"/>
      <c r="WK816" s="16"/>
      <c r="WL816" s="16"/>
      <c r="WM816" s="16"/>
      <c r="WN816" s="16"/>
      <c r="WO816" s="16"/>
      <c r="WP816" s="16"/>
      <c r="WQ816" s="16"/>
      <c r="WR816" s="16"/>
      <c r="WS816" s="16"/>
      <c r="WT816" s="16"/>
      <c r="WU816" s="16"/>
      <c r="WV816" s="16"/>
      <c r="WW816" s="16"/>
      <c r="WX816" s="16"/>
      <c r="WY816" s="16"/>
      <c r="WZ816" s="16"/>
      <c r="XA816" s="16"/>
      <c r="XB816" s="16"/>
      <c r="XC816" s="16"/>
      <c r="XD816" s="16"/>
      <c r="XE816" s="16"/>
      <c r="XF816" s="16"/>
      <c r="XG816" s="16"/>
      <c r="XH816" s="16"/>
      <c r="XI816" s="16"/>
      <c r="XJ816" s="16"/>
      <c r="XK816" s="16"/>
      <c r="XL816" s="16"/>
      <c r="XM816" s="16"/>
      <c r="XN816" s="16"/>
      <c r="XO816" s="16"/>
      <c r="XP816" s="16"/>
      <c r="XQ816" s="16"/>
      <c r="XR816" s="16"/>
      <c r="XS816" s="16"/>
      <c r="XT816" s="16"/>
      <c r="XU816" s="16"/>
      <c r="XV816" s="16"/>
      <c r="XW816" s="16"/>
      <c r="XX816" s="16"/>
      <c r="XY816" s="16"/>
      <c r="XZ816" s="16"/>
      <c r="YA816" s="16"/>
      <c r="YB816" s="16"/>
      <c r="YC816" s="16"/>
      <c r="YD816" s="16"/>
      <c r="YE816" s="16"/>
      <c r="YF816" s="16"/>
      <c r="YG816" s="16"/>
      <c r="YH816" s="16"/>
      <c r="YI816" s="16"/>
      <c r="YJ816" s="16"/>
      <c r="YK816" s="16"/>
      <c r="YL816" s="16"/>
      <c r="YM816" s="16"/>
      <c r="YN816" s="16"/>
      <c r="YO816" s="16"/>
      <c r="YP816" s="16"/>
      <c r="YQ816" s="16"/>
      <c r="YR816" s="16"/>
      <c r="YS816" s="16"/>
      <c r="YT816" s="16"/>
      <c r="YU816" s="16"/>
      <c r="YV816" s="16"/>
      <c r="YW816" s="16"/>
      <c r="YX816" s="16"/>
      <c r="YY816" s="16"/>
      <c r="YZ816" s="16"/>
      <c r="ZA816" s="16"/>
      <c r="ZB816" s="16"/>
      <c r="ZC816" s="16"/>
      <c r="ZD816" s="16"/>
      <c r="ZE816" s="16"/>
      <c r="ZF816" s="16"/>
      <c r="ZG816" s="16"/>
      <c r="ZH816" s="16"/>
      <c r="ZI816" s="16"/>
      <c r="ZJ816" s="16"/>
      <c r="ZK816" s="16"/>
      <c r="ZL816" s="16"/>
      <c r="ZM816" s="16"/>
      <c r="ZN816" s="16"/>
      <c r="ZO816" s="16"/>
      <c r="ZP816" s="16"/>
      <c r="ZQ816" s="16"/>
      <c r="ZR816" s="16"/>
      <c r="ZS816" s="16"/>
      <c r="ZT816" s="16"/>
      <c r="ZU816" s="16"/>
      <c r="ZV816" s="16"/>
      <c r="ZW816" s="16"/>
      <c r="ZX816" s="16"/>
      <c r="ZY816" s="16"/>
      <c r="ZZ816" s="16"/>
      <c r="AAA816" s="16"/>
      <c r="AAB816" s="16"/>
      <c r="AAC816" s="16"/>
      <c r="AAD816" s="16"/>
      <c r="AAE816" s="16"/>
      <c r="AAF816" s="16"/>
      <c r="AAG816" s="16"/>
      <c r="AAH816" s="16"/>
      <c r="AAI816" s="16"/>
      <c r="AAJ816" s="16"/>
      <c r="AAK816" s="16"/>
      <c r="AAL816" s="16"/>
      <c r="AAM816" s="16"/>
      <c r="AAN816" s="16"/>
      <c r="AAO816" s="16"/>
      <c r="AAP816" s="16"/>
      <c r="AAQ816" s="16"/>
      <c r="AAR816" s="16"/>
      <c r="AAS816" s="16"/>
      <c r="AAT816" s="16"/>
      <c r="AAU816" s="16"/>
      <c r="AAV816" s="16"/>
      <c r="AAW816" s="16"/>
      <c r="AAX816" s="16"/>
      <c r="AAY816" s="16"/>
      <c r="AAZ816" s="16"/>
      <c r="ABA816" s="16"/>
      <c r="ABB816" s="16"/>
      <c r="ABC816" s="16"/>
      <c r="ABD816" s="16"/>
      <c r="ABE816" s="16"/>
      <c r="ABF816" s="16"/>
      <c r="ABG816" s="16"/>
      <c r="ABH816" s="16"/>
      <c r="ABI816" s="16"/>
      <c r="ABJ816" s="16"/>
      <c r="ABK816" s="16"/>
      <c r="ABL816" s="16"/>
      <c r="ABM816" s="16"/>
      <c r="ABN816" s="16"/>
      <c r="ABO816" s="16"/>
      <c r="ABP816" s="16"/>
      <c r="ABQ816" s="16"/>
      <c r="ABR816" s="16"/>
      <c r="ABS816" s="16"/>
      <c r="ABT816" s="16"/>
      <c r="ABU816" s="16"/>
      <c r="ABV816" s="16"/>
      <c r="ABW816" s="16"/>
      <c r="ABX816" s="16"/>
      <c r="ABY816" s="16"/>
      <c r="ABZ816" s="16"/>
      <c r="ACA816" s="16"/>
      <c r="ACB816" s="16"/>
      <c r="ACC816" s="16"/>
      <c r="ACD816" s="16"/>
      <c r="ACE816" s="16"/>
      <c r="ACF816" s="16"/>
      <c r="ACG816" s="16"/>
      <c r="ACH816" s="16"/>
      <c r="ACI816" s="16"/>
      <c r="ACJ816" s="16"/>
      <c r="ACK816" s="16"/>
      <c r="ACL816" s="16"/>
      <c r="ACM816" s="16"/>
      <c r="ACN816" s="16"/>
      <c r="ACO816" s="16"/>
      <c r="ACP816" s="16"/>
      <c r="ACQ816" s="16"/>
      <c r="ACR816" s="16"/>
      <c r="ACS816" s="16"/>
      <c r="ACT816" s="16"/>
      <c r="ACU816" s="16"/>
      <c r="ACV816" s="16"/>
      <c r="ACW816" s="16"/>
      <c r="ACX816" s="16"/>
      <c r="ACY816" s="16"/>
      <c r="ACZ816" s="16"/>
      <c r="ADA816" s="16"/>
      <c r="ADB816" s="16"/>
      <c r="ADC816" s="16"/>
      <c r="ADD816" s="16"/>
      <c r="ADE816" s="16"/>
      <c r="ADF816" s="16"/>
      <c r="ADG816" s="16"/>
      <c r="ADH816" s="16"/>
      <c r="ADI816" s="16"/>
      <c r="ADJ816" s="16"/>
      <c r="ADK816" s="16"/>
      <c r="ADL816" s="16"/>
      <c r="ADM816" s="16"/>
      <c r="ADN816" s="16"/>
      <c r="ADO816" s="16"/>
      <c r="ADP816" s="16"/>
      <c r="ADQ816" s="16"/>
      <c r="ADR816" s="16"/>
      <c r="ADS816" s="16"/>
      <c r="ADT816" s="16"/>
      <c r="ADU816" s="16"/>
      <c r="ADV816" s="16"/>
      <c r="ADW816" s="16"/>
      <c r="ADX816" s="16"/>
      <c r="ADY816" s="16"/>
      <c r="ADZ816" s="16"/>
      <c r="AEA816" s="16"/>
      <c r="AEB816" s="16"/>
      <c r="AEC816" s="16"/>
      <c r="AED816" s="16"/>
      <c r="AEE816" s="16"/>
      <c r="AEF816" s="16"/>
      <c r="AEG816" s="16"/>
      <c r="AEH816" s="16"/>
      <c r="AEI816" s="16"/>
      <c r="AEJ816" s="16"/>
      <c r="AEK816" s="16"/>
      <c r="AEL816" s="16"/>
      <c r="AEM816" s="16"/>
      <c r="AEN816" s="16"/>
      <c r="AEO816" s="16"/>
      <c r="AEP816" s="16"/>
      <c r="AEQ816" s="16"/>
      <c r="AER816" s="16"/>
      <c r="AES816" s="16"/>
      <c r="AET816" s="16"/>
      <c r="AEU816" s="16"/>
      <c r="AEV816" s="16"/>
      <c r="AEW816" s="16"/>
      <c r="AEX816" s="16"/>
      <c r="AEY816" s="16"/>
      <c r="AEZ816" s="16"/>
      <c r="AFA816" s="16"/>
      <c r="AFB816" s="16"/>
      <c r="AFC816" s="16"/>
      <c r="AFD816" s="16"/>
      <c r="AFE816" s="16"/>
      <c r="AFF816" s="16"/>
      <c r="AFG816" s="16"/>
      <c r="AFH816" s="16"/>
      <c r="AFI816" s="16"/>
      <c r="AFJ816" s="16"/>
      <c r="AFK816" s="16"/>
      <c r="AFL816" s="16"/>
      <c r="AFM816" s="16"/>
      <c r="AFN816" s="16"/>
      <c r="AFO816" s="16"/>
      <c r="AFP816" s="16"/>
      <c r="AFQ816" s="16"/>
      <c r="AFR816" s="16"/>
      <c r="AFS816" s="16"/>
      <c r="AFT816" s="16"/>
      <c r="AFU816" s="16"/>
      <c r="AFV816" s="16"/>
      <c r="AFW816" s="16"/>
      <c r="AFX816" s="16"/>
      <c r="AFY816" s="16"/>
      <c r="AFZ816" s="16"/>
      <c r="AGA816" s="16"/>
      <c r="AGB816" s="16"/>
      <c r="AGC816" s="16"/>
      <c r="AGD816" s="16"/>
      <c r="AGE816" s="16"/>
      <c r="AGF816" s="16"/>
      <c r="AGG816" s="16"/>
      <c r="AGH816" s="16"/>
      <c r="AGI816" s="16"/>
      <c r="AGJ816" s="16"/>
    </row>
    <row r="817" spans="1:868" s="833" customFormat="1" hidden="1">
      <c r="A817" s="151" t="s">
        <v>121</v>
      </c>
      <c r="B817" s="34" t="s">
        <v>354</v>
      </c>
      <c r="C817" s="40" t="s">
        <v>139</v>
      </c>
      <c r="D817" s="34" t="s">
        <v>88</v>
      </c>
      <c r="E817" s="257">
        <v>0</v>
      </c>
      <c r="F817" s="232">
        <v>1</v>
      </c>
      <c r="G817" s="40"/>
      <c r="H817" s="29"/>
      <c r="I817" s="9"/>
      <c r="J817" s="9"/>
      <c r="K817" s="9"/>
      <c r="L817" s="9"/>
      <c r="M817" s="9"/>
      <c r="N817" s="185" t="str">
        <f t="shared" si="53"/>
        <v/>
      </c>
      <c r="O817" s="159" t="str">
        <f t="shared" si="54"/>
        <v/>
      </c>
      <c r="P817" s="63"/>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c r="JS817" s="16"/>
      <c r="JT817" s="16"/>
      <c r="JU817" s="16"/>
      <c r="JV817" s="16"/>
      <c r="JW817" s="16"/>
      <c r="JX817" s="16"/>
      <c r="JY817" s="16"/>
      <c r="JZ817" s="16"/>
      <c r="KA817" s="16"/>
      <c r="KB817" s="16"/>
      <c r="KC817" s="16"/>
      <c r="KD817" s="16"/>
      <c r="KE817" s="16"/>
      <c r="KF817" s="16"/>
      <c r="KG817" s="16"/>
      <c r="KH817" s="16"/>
      <c r="KI817" s="16"/>
      <c r="KJ817" s="16"/>
      <c r="KK817" s="16"/>
      <c r="KL817" s="16"/>
      <c r="KM817" s="16"/>
      <c r="KN817" s="16"/>
      <c r="KO817" s="16"/>
      <c r="KP817" s="16"/>
      <c r="KQ817" s="16"/>
      <c r="KR817" s="16"/>
      <c r="KS817" s="16"/>
      <c r="KT817" s="16"/>
      <c r="KU817" s="16"/>
      <c r="KV817" s="16"/>
      <c r="KW817" s="16"/>
      <c r="KX817" s="16"/>
      <c r="KY817" s="16"/>
      <c r="KZ817" s="16"/>
      <c r="LA817" s="16"/>
      <c r="LB817" s="16"/>
      <c r="LC817" s="16"/>
      <c r="LD817" s="16"/>
      <c r="LE817" s="16"/>
      <c r="LF817" s="16"/>
      <c r="LG817" s="16"/>
      <c r="LH817" s="16"/>
      <c r="LI817" s="16"/>
      <c r="LJ817" s="16"/>
      <c r="LK817" s="16"/>
      <c r="LL817" s="16"/>
      <c r="LM817" s="16"/>
      <c r="LN817" s="16"/>
      <c r="LO817" s="16"/>
      <c r="LP817" s="16"/>
      <c r="LQ817" s="16"/>
      <c r="LR817" s="16"/>
      <c r="LS817" s="16"/>
      <c r="LT817" s="16"/>
      <c r="LU817" s="16"/>
      <c r="LV817" s="16"/>
      <c r="LW817" s="16"/>
      <c r="LX817" s="16"/>
      <c r="LY817" s="16"/>
      <c r="LZ817" s="16"/>
      <c r="MA817" s="16"/>
      <c r="MB817" s="16"/>
      <c r="MC817" s="16"/>
      <c r="MD817" s="16"/>
      <c r="ME817" s="16"/>
      <c r="MF817" s="16"/>
      <c r="MG817" s="16"/>
      <c r="MH817" s="16"/>
      <c r="MI817" s="16"/>
      <c r="MJ817" s="16"/>
      <c r="MK817" s="16"/>
      <c r="ML817" s="16"/>
      <c r="MM817" s="16"/>
      <c r="MN817" s="16"/>
      <c r="MO817" s="16"/>
      <c r="MP817" s="16"/>
      <c r="MQ817" s="16"/>
      <c r="MR817" s="16"/>
      <c r="MS817" s="16"/>
      <c r="MT817" s="16"/>
      <c r="MU817" s="16"/>
      <c r="MV817" s="16"/>
      <c r="MW817" s="16"/>
      <c r="MX817" s="16"/>
      <c r="MY817" s="16"/>
      <c r="MZ817" s="16"/>
      <c r="NA817" s="16"/>
      <c r="NB817" s="16"/>
      <c r="NC817" s="16"/>
      <c r="ND817" s="16"/>
      <c r="NE817" s="16"/>
      <c r="NF817" s="16"/>
      <c r="NG817" s="16"/>
      <c r="NH817" s="16"/>
      <c r="NI817" s="16"/>
      <c r="NJ817" s="16"/>
      <c r="NK817" s="16"/>
      <c r="NL817" s="16"/>
      <c r="NM817" s="16"/>
      <c r="NN817" s="16"/>
      <c r="NO817" s="16"/>
      <c r="NP817" s="16"/>
      <c r="NQ817" s="16"/>
      <c r="NR817" s="16"/>
      <c r="NS817" s="16"/>
      <c r="NT817" s="16"/>
      <c r="NU817" s="16"/>
      <c r="NV817" s="16"/>
      <c r="NW817" s="16"/>
      <c r="NX817" s="16"/>
      <c r="NY817" s="16"/>
      <c r="NZ817" s="16"/>
      <c r="OA817" s="16"/>
      <c r="OB817" s="16"/>
      <c r="OC817" s="16"/>
      <c r="OD817" s="16"/>
      <c r="OE817" s="16"/>
      <c r="OF817" s="16"/>
      <c r="OG817" s="16"/>
      <c r="OH817" s="16"/>
      <c r="OI817" s="16"/>
      <c r="OJ817" s="16"/>
      <c r="OK817" s="16"/>
      <c r="OL817" s="16"/>
      <c r="OM817" s="16"/>
      <c r="ON817" s="16"/>
      <c r="OO817" s="16"/>
      <c r="OP817" s="16"/>
      <c r="OQ817" s="16"/>
      <c r="OR817" s="16"/>
      <c r="OS817" s="16"/>
      <c r="OT817" s="16"/>
      <c r="OU817" s="16"/>
      <c r="OV817" s="16"/>
      <c r="OW817" s="16"/>
      <c r="OX817" s="16"/>
      <c r="OY817" s="16"/>
      <c r="OZ817" s="16"/>
      <c r="PA817" s="16"/>
      <c r="PB817" s="16"/>
      <c r="PC817" s="16"/>
      <c r="PD817" s="16"/>
      <c r="PE817" s="16"/>
      <c r="PF817" s="16"/>
      <c r="PG817" s="16"/>
      <c r="PH817" s="16"/>
      <c r="PI817" s="16"/>
      <c r="PJ817" s="16"/>
      <c r="PK817" s="16"/>
      <c r="PL817" s="16"/>
      <c r="PM817" s="16"/>
      <c r="PN817" s="16"/>
      <c r="PO817" s="16"/>
      <c r="PP817" s="16"/>
      <c r="PQ817" s="16"/>
      <c r="PR817" s="16"/>
      <c r="PS817" s="16"/>
      <c r="PT817" s="16"/>
      <c r="PU817" s="16"/>
      <c r="PV817" s="16"/>
      <c r="PW817" s="16"/>
      <c r="PX817" s="16"/>
      <c r="PY817" s="16"/>
      <c r="PZ817" s="16"/>
      <c r="QA817" s="16"/>
      <c r="QB817" s="16"/>
      <c r="QC817" s="16"/>
      <c r="QD817" s="16"/>
      <c r="QE817" s="16"/>
      <c r="QF817" s="16"/>
      <c r="QG817" s="16"/>
      <c r="QH817" s="16"/>
      <c r="QI817" s="16"/>
      <c r="QJ817" s="16"/>
      <c r="QK817" s="16"/>
      <c r="QL817" s="16"/>
      <c r="QM817" s="16"/>
      <c r="QN817" s="16"/>
      <c r="QO817" s="16"/>
      <c r="QP817" s="16"/>
      <c r="QQ817" s="16"/>
      <c r="QR817" s="16"/>
      <c r="QS817" s="16"/>
      <c r="QT817" s="16"/>
      <c r="QU817" s="16"/>
      <c r="QV817" s="16"/>
      <c r="QW817" s="16"/>
      <c r="QX817" s="16"/>
      <c r="QY817" s="16"/>
      <c r="QZ817" s="16"/>
      <c r="RA817" s="16"/>
      <c r="RB817" s="16"/>
      <c r="RC817" s="16"/>
      <c r="RD817" s="16"/>
      <c r="RE817" s="16"/>
      <c r="RF817" s="16"/>
      <c r="RG817" s="16"/>
      <c r="RH817" s="16"/>
      <c r="RI817" s="16"/>
      <c r="RJ817" s="16"/>
      <c r="RK817" s="16"/>
      <c r="RL817" s="16"/>
      <c r="RM817" s="16"/>
      <c r="RN817" s="16"/>
      <c r="RO817" s="16"/>
      <c r="RP817" s="16"/>
      <c r="RQ817" s="16"/>
      <c r="RR817" s="16"/>
      <c r="RS817" s="16"/>
      <c r="RT817" s="16"/>
      <c r="RU817" s="16"/>
      <c r="RV817" s="16"/>
      <c r="RW817" s="16"/>
      <c r="RX817" s="16"/>
      <c r="RY817" s="16"/>
      <c r="RZ817" s="16"/>
      <c r="SA817" s="16"/>
      <c r="SB817" s="16"/>
      <c r="SC817" s="16"/>
      <c r="SD817" s="16"/>
      <c r="SE817" s="16"/>
      <c r="SF817" s="16"/>
      <c r="SG817" s="16"/>
      <c r="SH817" s="16"/>
      <c r="SI817" s="16"/>
      <c r="SJ817" s="16"/>
      <c r="SK817" s="16"/>
      <c r="SL817" s="16"/>
      <c r="SM817" s="16"/>
      <c r="SN817" s="16"/>
      <c r="SO817" s="16"/>
      <c r="SP817" s="16"/>
      <c r="SQ817" s="16"/>
      <c r="SR817" s="16"/>
      <c r="SS817" s="16"/>
      <c r="ST817" s="16"/>
      <c r="SU817" s="16"/>
      <c r="SV817" s="16"/>
      <c r="SW817" s="16"/>
      <c r="SX817" s="16"/>
      <c r="SY817" s="16"/>
      <c r="SZ817" s="16"/>
      <c r="TA817" s="16"/>
      <c r="TB817" s="16"/>
      <c r="TC817" s="16"/>
      <c r="TD817" s="16"/>
      <c r="TE817" s="16"/>
      <c r="TF817" s="16"/>
      <c r="TG817" s="16"/>
      <c r="TH817" s="16"/>
      <c r="TI817" s="16"/>
      <c r="TJ817" s="16"/>
      <c r="TK817" s="16"/>
      <c r="TL817" s="16"/>
      <c r="TM817" s="16"/>
      <c r="TN817" s="16"/>
      <c r="TO817" s="16"/>
      <c r="TP817" s="16"/>
      <c r="TQ817" s="16"/>
      <c r="TR817" s="16"/>
      <c r="TS817" s="16"/>
      <c r="TT817" s="16"/>
      <c r="TU817" s="16"/>
      <c r="TV817" s="16"/>
      <c r="TW817" s="16"/>
      <c r="TX817" s="16"/>
      <c r="TY817" s="16"/>
      <c r="TZ817" s="16"/>
      <c r="UA817" s="16"/>
      <c r="UB817" s="16"/>
      <c r="UC817" s="16"/>
      <c r="UD817" s="16"/>
      <c r="UE817" s="16"/>
      <c r="UF817" s="16"/>
      <c r="UG817" s="16"/>
      <c r="UH817" s="16"/>
      <c r="UI817" s="16"/>
      <c r="UJ817" s="16"/>
      <c r="UK817" s="16"/>
      <c r="UL817" s="16"/>
      <c r="UM817" s="16"/>
      <c r="UN817" s="16"/>
      <c r="UO817" s="16"/>
      <c r="UP817" s="16"/>
      <c r="UQ817" s="16"/>
      <c r="UR817" s="16"/>
      <c r="US817" s="16"/>
      <c r="UT817" s="16"/>
      <c r="UU817" s="16"/>
      <c r="UV817" s="16"/>
      <c r="UW817" s="16"/>
      <c r="UX817" s="16"/>
      <c r="UY817" s="16"/>
      <c r="UZ817" s="16"/>
      <c r="VA817" s="16"/>
      <c r="VB817" s="16"/>
      <c r="VC817" s="16"/>
      <c r="VD817" s="16"/>
      <c r="VE817" s="16"/>
      <c r="VF817" s="16"/>
      <c r="VG817" s="16"/>
      <c r="VH817" s="16"/>
      <c r="VI817" s="16"/>
      <c r="VJ817" s="16"/>
      <c r="VK817" s="16"/>
      <c r="VL817" s="16"/>
      <c r="VM817" s="16"/>
      <c r="VN817" s="16"/>
      <c r="VO817" s="16"/>
      <c r="VP817" s="16"/>
      <c r="VQ817" s="16"/>
      <c r="VR817" s="16"/>
      <c r="VS817" s="16"/>
      <c r="VT817" s="16"/>
      <c r="VU817" s="16"/>
      <c r="VV817" s="16"/>
      <c r="VW817" s="16"/>
      <c r="VX817" s="16"/>
      <c r="VY817" s="16"/>
      <c r="VZ817" s="16"/>
      <c r="WA817" s="16"/>
      <c r="WB817" s="16"/>
      <c r="WC817" s="16"/>
      <c r="WD817" s="16"/>
      <c r="WE817" s="16"/>
      <c r="WF817" s="16"/>
      <c r="WG817" s="16"/>
      <c r="WH817" s="16"/>
      <c r="WI817" s="16"/>
      <c r="WJ817" s="16"/>
      <c r="WK817" s="16"/>
      <c r="WL817" s="16"/>
      <c r="WM817" s="16"/>
      <c r="WN817" s="16"/>
      <c r="WO817" s="16"/>
      <c r="WP817" s="16"/>
      <c r="WQ817" s="16"/>
      <c r="WR817" s="16"/>
      <c r="WS817" s="16"/>
      <c r="WT817" s="16"/>
      <c r="WU817" s="16"/>
      <c r="WV817" s="16"/>
      <c r="WW817" s="16"/>
      <c r="WX817" s="16"/>
      <c r="WY817" s="16"/>
      <c r="WZ817" s="16"/>
      <c r="XA817" s="16"/>
      <c r="XB817" s="16"/>
      <c r="XC817" s="16"/>
      <c r="XD817" s="16"/>
      <c r="XE817" s="16"/>
      <c r="XF817" s="16"/>
      <c r="XG817" s="16"/>
      <c r="XH817" s="16"/>
      <c r="XI817" s="16"/>
      <c r="XJ817" s="16"/>
      <c r="XK817" s="16"/>
      <c r="XL817" s="16"/>
      <c r="XM817" s="16"/>
      <c r="XN817" s="16"/>
      <c r="XO817" s="16"/>
      <c r="XP817" s="16"/>
      <c r="XQ817" s="16"/>
      <c r="XR817" s="16"/>
      <c r="XS817" s="16"/>
      <c r="XT817" s="16"/>
      <c r="XU817" s="16"/>
      <c r="XV817" s="16"/>
      <c r="XW817" s="16"/>
      <c r="XX817" s="16"/>
      <c r="XY817" s="16"/>
      <c r="XZ817" s="16"/>
      <c r="YA817" s="16"/>
      <c r="YB817" s="16"/>
      <c r="YC817" s="16"/>
      <c r="YD817" s="16"/>
      <c r="YE817" s="16"/>
      <c r="YF817" s="16"/>
      <c r="YG817" s="16"/>
      <c r="YH817" s="16"/>
      <c r="YI817" s="16"/>
      <c r="YJ817" s="16"/>
      <c r="YK817" s="16"/>
      <c r="YL817" s="16"/>
      <c r="YM817" s="16"/>
      <c r="YN817" s="16"/>
      <c r="YO817" s="16"/>
      <c r="YP817" s="16"/>
      <c r="YQ817" s="16"/>
      <c r="YR817" s="16"/>
      <c r="YS817" s="16"/>
      <c r="YT817" s="16"/>
      <c r="YU817" s="16"/>
      <c r="YV817" s="16"/>
      <c r="YW817" s="16"/>
      <c r="YX817" s="16"/>
      <c r="YY817" s="16"/>
      <c r="YZ817" s="16"/>
      <c r="ZA817" s="16"/>
      <c r="ZB817" s="16"/>
      <c r="ZC817" s="16"/>
      <c r="ZD817" s="16"/>
      <c r="ZE817" s="16"/>
      <c r="ZF817" s="16"/>
      <c r="ZG817" s="16"/>
      <c r="ZH817" s="16"/>
      <c r="ZI817" s="16"/>
      <c r="ZJ817" s="16"/>
      <c r="ZK817" s="16"/>
      <c r="ZL817" s="16"/>
      <c r="ZM817" s="16"/>
      <c r="ZN817" s="16"/>
      <c r="ZO817" s="16"/>
      <c r="ZP817" s="16"/>
      <c r="ZQ817" s="16"/>
      <c r="ZR817" s="16"/>
      <c r="ZS817" s="16"/>
      <c r="ZT817" s="16"/>
      <c r="ZU817" s="16"/>
      <c r="ZV817" s="16"/>
      <c r="ZW817" s="16"/>
      <c r="ZX817" s="16"/>
      <c r="ZY817" s="16"/>
      <c r="ZZ817" s="16"/>
      <c r="AAA817" s="16"/>
      <c r="AAB817" s="16"/>
      <c r="AAC817" s="16"/>
      <c r="AAD817" s="16"/>
      <c r="AAE817" s="16"/>
      <c r="AAF817" s="16"/>
      <c r="AAG817" s="16"/>
      <c r="AAH817" s="16"/>
      <c r="AAI817" s="16"/>
      <c r="AAJ817" s="16"/>
      <c r="AAK817" s="16"/>
      <c r="AAL817" s="16"/>
      <c r="AAM817" s="16"/>
      <c r="AAN817" s="16"/>
      <c r="AAO817" s="16"/>
      <c r="AAP817" s="16"/>
      <c r="AAQ817" s="16"/>
      <c r="AAR817" s="16"/>
      <c r="AAS817" s="16"/>
      <c r="AAT817" s="16"/>
      <c r="AAU817" s="16"/>
      <c r="AAV817" s="16"/>
      <c r="AAW817" s="16"/>
      <c r="AAX817" s="16"/>
      <c r="AAY817" s="16"/>
      <c r="AAZ817" s="16"/>
      <c r="ABA817" s="16"/>
      <c r="ABB817" s="16"/>
      <c r="ABC817" s="16"/>
      <c r="ABD817" s="16"/>
      <c r="ABE817" s="16"/>
      <c r="ABF817" s="16"/>
      <c r="ABG817" s="16"/>
      <c r="ABH817" s="16"/>
      <c r="ABI817" s="16"/>
      <c r="ABJ817" s="16"/>
      <c r="ABK817" s="16"/>
      <c r="ABL817" s="16"/>
      <c r="ABM817" s="16"/>
      <c r="ABN817" s="16"/>
      <c r="ABO817" s="16"/>
      <c r="ABP817" s="16"/>
      <c r="ABQ817" s="16"/>
      <c r="ABR817" s="16"/>
      <c r="ABS817" s="16"/>
      <c r="ABT817" s="16"/>
      <c r="ABU817" s="16"/>
      <c r="ABV817" s="16"/>
      <c r="ABW817" s="16"/>
      <c r="ABX817" s="16"/>
      <c r="ABY817" s="16"/>
      <c r="ABZ817" s="16"/>
      <c r="ACA817" s="16"/>
      <c r="ACB817" s="16"/>
      <c r="ACC817" s="16"/>
      <c r="ACD817" s="16"/>
      <c r="ACE817" s="16"/>
      <c r="ACF817" s="16"/>
      <c r="ACG817" s="16"/>
      <c r="ACH817" s="16"/>
      <c r="ACI817" s="16"/>
      <c r="ACJ817" s="16"/>
      <c r="ACK817" s="16"/>
      <c r="ACL817" s="16"/>
      <c r="ACM817" s="16"/>
      <c r="ACN817" s="16"/>
      <c r="ACO817" s="16"/>
      <c r="ACP817" s="16"/>
      <c r="ACQ817" s="16"/>
      <c r="ACR817" s="16"/>
      <c r="ACS817" s="16"/>
      <c r="ACT817" s="16"/>
      <c r="ACU817" s="16"/>
      <c r="ACV817" s="16"/>
      <c r="ACW817" s="16"/>
      <c r="ACX817" s="16"/>
      <c r="ACY817" s="16"/>
      <c r="ACZ817" s="16"/>
      <c r="ADA817" s="16"/>
      <c r="ADB817" s="16"/>
      <c r="ADC817" s="16"/>
      <c r="ADD817" s="16"/>
      <c r="ADE817" s="16"/>
      <c r="ADF817" s="16"/>
      <c r="ADG817" s="16"/>
      <c r="ADH817" s="16"/>
      <c r="ADI817" s="16"/>
      <c r="ADJ817" s="16"/>
      <c r="ADK817" s="16"/>
      <c r="ADL817" s="16"/>
      <c r="ADM817" s="16"/>
      <c r="ADN817" s="16"/>
      <c r="ADO817" s="16"/>
      <c r="ADP817" s="16"/>
      <c r="ADQ817" s="16"/>
      <c r="ADR817" s="16"/>
      <c r="ADS817" s="16"/>
      <c r="ADT817" s="16"/>
      <c r="ADU817" s="16"/>
      <c r="ADV817" s="16"/>
      <c r="ADW817" s="16"/>
      <c r="ADX817" s="16"/>
      <c r="ADY817" s="16"/>
      <c r="ADZ817" s="16"/>
      <c r="AEA817" s="16"/>
      <c r="AEB817" s="16"/>
      <c r="AEC817" s="16"/>
      <c r="AED817" s="16"/>
      <c r="AEE817" s="16"/>
      <c r="AEF817" s="16"/>
      <c r="AEG817" s="16"/>
      <c r="AEH817" s="16"/>
      <c r="AEI817" s="16"/>
      <c r="AEJ817" s="16"/>
      <c r="AEK817" s="16"/>
      <c r="AEL817" s="16"/>
      <c r="AEM817" s="16"/>
      <c r="AEN817" s="16"/>
      <c r="AEO817" s="16"/>
      <c r="AEP817" s="16"/>
      <c r="AEQ817" s="16"/>
      <c r="AER817" s="16"/>
      <c r="AES817" s="16"/>
      <c r="AET817" s="16"/>
      <c r="AEU817" s="16"/>
      <c r="AEV817" s="16"/>
      <c r="AEW817" s="16"/>
      <c r="AEX817" s="16"/>
      <c r="AEY817" s="16"/>
      <c r="AEZ817" s="16"/>
      <c r="AFA817" s="16"/>
      <c r="AFB817" s="16"/>
      <c r="AFC817" s="16"/>
      <c r="AFD817" s="16"/>
      <c r="AFE817" s="16"/>
      <c r="AFF817" s="16"/>
      <c r="AFG817" s="16"/>
      <c r="AFH817" s="16"/>
      <c r="AFI817" s="16"/>
      <c r="AFJ817" s="16"/>
      <c r="AFK817" s="16"/>
      <c r="AFL817" s="16"/>
      <c r="AFM817" s="16"/>
      <c r="AFN817" s="16"/>
      <c r="AFO817" s="16"/>
      <c r="AFP817" s="16"/>
      <c r="AFQ817" s="16"/>
      <c r="AFR817" s="16"/>
      <c r="AFS817" s="16"/>
      <c r="AFT817" s="16"/>
      <c r="AFU817" s="16"/>
      <c r="AFV817" s="16"/>
      <c r="AFW817" s="16"/>
      <c r="AFX817" s="16"/>
      <c r="AFY817" s="16"/>
      <c r="AFZ817" s="16"/>
      <c r="AGA817" s="16"/>
      <c r="AGB817" s="16"/>
      <c r="AGC817" s="16"/>
      <c r="AGD817" s="16"/>
      <c r="AGE817" s="16"/>
      <c r="AGF817" s="16"/>
      <c r="AGG817" s="16"/>
      <c r="AGH817" s="16"/>
      <c r="AGI817" s="16"/>
      <c r="AGJ817" s="16"/>
    </row>
    <row r="818" spans="1:868" hidden="1">
      <c r="A818" s="151" t="s">
        <v>121</v>
      </c>
      <c r="B818" s="34" t="s">
        <v>354</v>
      </c>
      <c r="C818" s="40" t="s">
        <v>139</v>
      </c>
      <c r="D818" s="34" t="s">
        <v>89</v>
      </c>
      <c r="E818" s="257">
        <v>0</v>
      </c>
      <c r="F818" s="232">
        <v>1</v>
      </c>
      <c r="G818" s="40"/>
      <c r="H818" s="29"/>
      <c r="I818" s="9"/>
      <c r="J818" s="9"/>
      <c r="K818" s="9"/>
      <c r="L818" s="9"/>
      <c r="M818" s="9"/>
      <c r="N818" s="185" t="str">
        <f t="shared" si="53"/>
        <v/>
      </c>
      <c r="O818" s="159" t="str">
        <f t="shared" si="54"/>
        <v/>
      </c>
      <c r="P818" s="63"/>
    </row>
    <row r="819" spans="1:868" hidden="1">
      <c r="A819" s="151" t="s">
        <v>121</v>
      </c>
      <c r="B819" s="34" t="s">
        <v>354</v>
      </c>
      <c r="C819" s="40" t="s">
        <v>139</v>
      </c>
      <c r="D819" s="34" t="s">
        <v>90</v>
      </c>
      <c r="E819" s="257">
        <v>0</v>
      </c>
      <c r="F819" s="232">
        <v>1</v>
      </c>
      <c r="G819" s="40"/>
      <c r="H819" s="29"/>
      <c r="I819" s="9"/>
      <c r="J819" s="9"/>
      <c r="K819" s="9"/>
      <c r="L819" s="9"/>
      <c r="M819" s="9"/>
      <c r="N819" s="185" t="str">
        <f t="shared" si="53"/>
        <v/>
      </c>
      <c r="O819" s="159" t="str">
        <f t="shared" si="54"/>
        <v/>
      </c>
      <c r="P819" s="63"/>
    </row>
    <row r="820" spans="1:868" hidden="1">
      <c r="A820" s="289" t="s">
        <v>418</v>
      </c>
      <c r="B820" s="55" t="s">
        <v>349</v>
      </c>
      <c r="C820" s="262" t="s">
        <v>139</v>
      </c>
      <c r="D820" s="55" t="s">
        <v>139</v>
      </c>
      <c r="E820" s="257" t="s">
        <v>150</v>
      </c>
      <c r="F820" s="232">
        <v>1</v>
      </c>
      <c r="G820" s="262"/>
      <c r="H820" s="29"/>
      <c r="I820" s="9"/>
      <c r="J820" s="9"/>
      <c r="K820" s="9"/>
      <c r="L820" s="9"/>
      <c r="M820" s="9"/>
      <c r="N820" s="185" t="str">
        <f t="shared" si="53"/>
        <v/>
      </c>
      <c r="O820" s="159" t="str">
        <f t="shared" si="54"/>
        <v/>
      </c>
      <c r="P820" s="63"/>
    </row>
    <row r="821" spans="1:868" hidden="1">
      <c r="A821" s="289" t="s">
        <v>418</v>
      </c>
      <c r="B821" s="55" t="s">
        <v>359</v>
      </c>
      <c r="C821" s="262" t="s">
        <v>139</v>
      </c>
      <c r="D821" s="55" t="s">
        <v>139</v>
      </c>
      <c r="E821" s="257">
        <v>1.0400000000000001E-2</v>
      </c>
      <c r="F821" s="232">
        <v>2</v>
      </c>
      <c r="G821" s="257" t="s">
        <v>163</v>
      </c>
      <c r="H821" s="29">
        <v>2</v>
      </c>
      <c r="I821" s="9">
        <v>2</v>
      </c>
      <c r="J821" s="9">
        <v>1</v>
      </c>
      <c r="K821" s="9">
        <v>1</v>
      </c>
      <c r="L821" s="9">
        <v>1</v>
      </c>
      <c r="M821" s="9">
        <v>3</v>
      </c>
      <c r="N821" s="185">
        <f t="shared" si="53"/>
        <v>1.0195048044558224</v>
      </c>
      <c r="O821" s="159">
        <f t="shared" si="54"/>
        <v>1.0195048044558224</v>
      </c>
      <c r="P821" s="63" t="s">
        <v>419</v>
      </c>
    </row>
    <row r="822" spans="1:868" s="210" customFormat="1" ht="15" hidden="1" thickBot="1">
      <c r="A822" s="289" t="s">
        <v>418</v>
      </c>
      <c r="B822" s="55" t="s">
        <v>359</v>
      </c>
      <c r="C822" s="262" t="s">
        <v>139</v>
      </c>
      <c r="D822" s="55" t="s">
        <v>139</v>
      </c>
      <c r="E822" s="257">
        <v>1.8599999999999998E-2</v>
      </c>
      <c r="F822" s="232">
        <v>2</v>
      </c>
      <c r="G822" s="257" t="s">
        <v>163</v>
      </c>
      <c r="H822" s="29">
        <v>2</v>
      </c>
      <c r="I822" s="9">
        <v>2</v>
      </c>
      <c r="J822" s="9">
        <v>1</v>
      </c>
      <c r="K822" s="9">
        <v>1</v>
      </c>
      <c r="L822" s="9">
        <v>1</v>
      </c>
      <c r="M822" s="9">
        <v>3</v>
      </c>
      <c r="N822" s="185">
        <f t="shared" si="53"/>
        <v>1.0195048044558224</v>
      </c>
      <c r="O822" s="159">
        <f t="shared" si="54"/>
        <v>1.0195048044558224</v>
      </c>
      <c r="P822" s="63" t="s">
        <v>420</v>
      </c>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c r="JS822" s="16"/>
      <c r="JT822" s="16"/>
      <c r="JU822" s="16"/>
      <c r="JV822" s="16"/>
      <c r="JW822" s="16"/>
      <c r="JX822" s="16"/>
      <c r="JY822" s="16"/>
      <c r="JZ822" s="16"/>
      <c r="KA822" s="16"/>
      <c r="KB822" s="16"/>
      <c r="KC822" s="16"/>
      <c r="KD822" s="16"/>
      <c r="KE822" s="16"/>
      <c r="KF822" s="16"/>
      <c r="KG822" s="16"/>
      <c r="KH822" s="16"/>
      <c r="KI822" s="16"/>
      <c r="KJ822" s="16"/>
      <c r="KK822" s="16"/>
      <c r="KL822" s="16"/>
      <c r="KM822" s="16"/>
      <c r="KN822" s="16"/>
      <c r="KO822" s="16"/>
      <c r="KP822" s="16"/>
      <c r="KQ822" s="16"/>
      <c r="KR822" s="16"/>
      <c r="KS822" s="16"/>
      <c r="KT822" s="16"/>
      <c r="KU822" s="16"/>
      <c r="KV822" s="16"/>
      <c r="KW822" s="16"/>
      <c r="KX822" s="16"/>
      <c r="KY822" s="16"/>
      <c r="KZ822" s="16"/>
      <c r="LA822" s="16"/>
      <c r="LB822" s="16"/>
      <c r="LC822" s="16"/>
      <c r="LD822" s="16"/>
      <c r="LE822" s="16"/>
      <c r="LF822" s="16"/>
      <c r="LG822" s="16"/>
      <c r="LH822" s="16"/>
      <c r="LI822" s="16"/>
      <c r="LJ822" s="16"/>
      <c r="LK822" s="16"/>
      <c r="LL822" s="16"/>
      <c r="LM822" s="16"/>
      <c r="LN822" s="16"/>
      <c r="LO822" s="16"/>
      <c r="LP822" s="16"/>
      <c r="LQ822" s="16"/>
      <c r="LR822" s="16"/>
      <c r="LS822" s="16"/>
      <c r="LT822" s="16"/>
      <c r="LU822" s="16"/>
      <c r="LV822" s="16"/>
      <c r="LW822" s="16"/>
      <c r="LX822" s="16"/>
      <c r="LY822" s="16"/>
      <c r="LZ822" s="16"/>
      <c r="MA822" s="16"/>
      <c r="MB822" s="16"/>
      <c r="MC822" s="16"/>
      <c r="MD822" s="16"/>
      <c r="ME822" s="16"/>
      <c r="MF822" s="16"/>
      <c r="MG822" s="16"/>
      <c r="MH822" s="16"/>
      <c r="MI822" s="16"/>
      <c r="MJ822" s="16"/>
      <c r="MK822" s="16"/>
      <c r="ML822" s="16"/>
      <c r="MM822" s="16"/>
      <c r="MN822" s="16"/>
      <c r="MO822" s="16"/>
      <c r="MP822" s="16"/>
      <c r="MQ822" s="16"/>
      <c r="MR822" s="16"/>
      <c r="MS822" s="16"/>
      <c r="MT822" s="16"/>
      <c r="MU822" s="16"/>
      <c r="MV822" s="16"/>
      <c r="MW822" s="16"/>
      <c r="MX822" s="16"/>
      <c r="MY822" s="16"/>
      <c r="MZ822" s="16"/>
      <c r="NA822" s="16"/>
      <c r="NB822" s="16"/>
      <c r="NC822" s="16"/>
      <c r="ND822" s="16"/>
      <c r="NE822" s="16"/>
      <c r="NF822" s="16"/>
      <c r="NG822" s="16"/>
      <c r="NH822" s="16"/>
      <c r="NI822" s="16"/>
      <c r="NJ822" s="16"/>
      <c r="NK822" s="16"/>
      <c r="NL822" s="16"/>
      <c r="NM822" s="16"/>
      <c r="NN822" s="16"/>
      <c r="NO822" s="16"/>
      <c r="NP822" s="16"/>
      <c r="NQ822" s="16"/>
      <c r="NR822" s="16"/>
      <c r="NS822" s="16"/>
      <c r="NT822" s="16"/>
      <c r="NU822" s="16"/>
      <c r="NV822" s="16"/>
      <c r="NW822" s="16"/>
      <c r="NX822" s="16"/>
      <c r="NY822" s="16"/>
      <c r="NZ822" s="16"/>
      <c r="OA822" s="16"/>
      <c r="OB822" s="16"/>
      <c r="OC822" s="16"/>
      <c r="OD822" s="16"/>
      <c r="OE822" s="16"/>
      <c r="OF822" s="16"/>
      <c r="OG822" s="16"/>
      <c r="OH822" s="16"/>
      <c r="OI822" s="16"/>
      <c r="OJ822" s="16"/>
      <c r="OK822" s="16"/>
      <c r="OL822" s="16"/>
      <c r="OM822" s="16"/>
      <c r="ON822" s="16"/>
      <c r="OO822" s="16"/>
      <c r="OP822" s="16"/>
      <c r="OQ822" s="16"/>
      <c r="OR822" s="16"/>
      <c r="OS822" s="16"/>
      <c r="OT822" s="16"/>
      <c r="OU822" s="16"/>
      <c r="OV822" s="16"/>
      <c r="OW822" s="16"/>
      <c r="OX822" s="16"/>
      <c r="OY822" s="16"/>
      <c r="OZ822" s="16"/>
      <c r="PA822" s="16"/>
      <c r="PB822" s="16"/>
      <c r="PC822" s="16"/>
      <c r="PD822" s="16"/>
      <c r="PE822" s="16"/>
      <c r="PF822" s="16"/>
      <c r="PG822" s="16"/>
      <c r="PH822" s="16"/>
      <c r="PI822" s="16"/>
      <c r="PJ822" s="16"/>
      <c r="PK822" s="16"/>
      <c r="PL822" s="16"/>
      <c r="PM822" s="16"/>
      <c r="PN822" s="16"/>
      <c r="PO822" s="16"/>
      <c r="PP822" s="16"/>
      <c r="PQ822" s="16"/>
      <c r="PR822" s="16"/>
      <c r="PS822" s="16"/>
      <c r="PT822" s="16"/>
      <c r="PU822" s="16"/>
      <c r="PV822" s="16"/>
      <c r="PW822" s="16"/>
      <c r="PX822" s="16"/>
      <c r="PY822" s="16"/>
      <c r="PZ822" s="16"/>
      <c r="QA822" s="16"/>
      <c r="QB822" s="16"/>
      <c r="QC822" s="16"/>
      <c r="QD822" s="16"/>
      <c r="QE822" s="16"/>
      <c r="QF822" s="16"/>
      <c r="QG822" s="16"/>
      <c r="QH822" s="16"/>
      <c r="QI822" s="16"/>
      <c r="QJ822" s="16"/>
      <c r="QK822" s="16"/>
      <c r="QL822" s="16"/>
      <c r="QM822" s="16"/>
      <c r="QN822" s="16"/>
      <c r="QO822" s="16"/>
      <c r="QP822" s="16"/>
      <c r="QQ822" s="16"/>
      <c r="QR822" s="16"/>
      <c r="QS822" s="16"/>
      <c r="QT822" s="16"/>
      <c r="QU822" s="16"/>
      <c r="QV822" s="16"/>
      <c r="QW822" s="16"/>
      <c r="QX822" s="16"/>
      <c r="QY822" s="16"/>
      <c r="QZ822" s="16"/>
      <c r="RA822" s="16"/>
      <c r="RB822" s="16"/>
      <c r="RC822" s="16"/>
      <c r="RD822" s="16"/>
      <c r="RE822" s="16"/>
      <c r="RF822" s="16"/>
      <c r="RG822" s="16"/>
      <c r="RH822" s="16"/>
      <c r="RI822" s="16"/>
      <c r="RJ822" s="16"/>
      <c r="RK822" s="16"/>
      <c r="RL822" s="16"/>
      <c r="RM822" s="16"/>
      <c r="RN822" s="16"/>
      <c r="RO822" s="16"/>
      <c r="RP822" s="16"/>
      <c r="RQ822" s="16"/>
      <c r="RR822" s="16"/>
      <c r="RS822" s="16"/>
      <c r="RT822" s="16"/>
      <c r="RU822" s="16"/>
      <c r="RV822" s="16"/>
      <c r="RW822" s="16"/>
      <c r="RX822" s="16"/>
      <c r="RY822" s="16"/>
      <c r="RZ822" s="16"/>
      <c r="SA822" s="16"/>
      <c r="SB822" s="16"/>
      <c r="SC822" s="16"/>
      <c r="SD822" s="16"/>
      <c r="SE822" s="16"/>
      <c r="SF822" s="16"/>
      <c r="SG822" s="16"/>
      <c r="SH822" s="16"/>
      <c r="SI822" s="16"/>
      <c r="SJ822" s="16"/>
      <c r="SK822" s="16"/>
      <c r="SL822" s="16"/>
      <c r="SM822" s="16"/>
      <c r="SN822" s="16"/>
      <c r="SO822" s="16"/>
      <c r="SP822" s="16"/>
      <c r="SQ822" s="16"/>
      <c r="SR822" s="16"/>
      <c r="SS822" s="16"/>
      <c r="ST822" s="16"/>
      <c r="SU822" s="16"/>
      <c r="SV822" s="16"/>
      <c r="SW822" s="16"/>
      <c r="SX822" s="16"/>
      <c r="SY822" s="16"/>
      <c r="SZ822" s="16"/>
      <c r="TA822" s="16"/>
      <c r="TB822" s="16"/>
      <c r="TC822" s="16"/>
      <c r="TD822" s="16"/>
      <c r="TE822" s="16"/>
      <c r="TF822" s="16"/>
      <c r="TG822" s="16"/>
      <c r="TH822" s="16"/>
      <c r="TI822" s="16"/>
      <c r="TJ822" s="16"/>
      <c r="TK822" s="16"/>
      <c r="TL822" s="16"/>
      <c r="TM822" s="16"/>
      <c r="TN822" s="16"/>
      <c r="TO822" s="16"/>
      <c r="TP822" s="16"/>
      <c r="TQ822" s="16"/>
      <c r="TR822" s="16"/>
      <c r="TS822" s="16"/>
      <c r="TT822" s="16"/>
      <c r="TU822" s="16"/>
      <c r="TV822" s="16"/>
      <c r="TW822" s="16"/>
      <c r="TX822" s="16"/>
      <c r="TY822" s="16"/>
      <c r="TZ822" s="16"/>
      <c r="UA822" s="16"/>
      <c r="UB822" s="16"/>
      <c r="UC822" s="16"/>
      <c r="UD822" s="16"/>
      <c r="UE822" s="16"/>
      <c r="UF822" s="16"/>
      <c r="UG822" s="16"/>
      <c r="UH822" s="16"/>
      <c r="UI822" s="16"/>
      <c r="UJ822" s="16"/>
      <c r="UK822" s="16"/>
      <c r="UL822" s="16"/>
      <c r="UM822" s="16"/>
      <c r="UN822" s="16"/>
      <c r="UO822" s="16"/>
      <c r="UP822" s="16"/>
      <c r="UQ822" s="16"/>
      <c r="UR822" s="16"/>
      <c r="US822" s="16"/>
      <c r="UT822" s="16"/>
      <c r="UU822" s="16"/>
      <c r="UV822" s="16"/>
      <c r="UW822" s="16"/>
      <c r="UX822" s="16"/>
      <c r="UY822" s="16"/>
      <c r="UZ822" s="16"/>
      <c r="VA822" s="16"/>
      <c r="VB822" s="16"/>
      <c r="VC822" s="16"/>
      <c r="VD822" s="16"/>
      <c r="VE822" s="16"/>
      <c r="VF822" s="16"/>
      <c r="VG822" s="16"/>
      <c r="VH822" s="16"/>
      <c r="VI822" s="16"/>
      <c r="VJ822" s="16"/>
      <c r="VK822" s="16"/>
      <c r="VL822" s="16"/>
      <c r="VM822" s="16"/>
      <c r="VN822" s="16"/>
      <c r="VO822" s="16"/>
      <c r="VP822" s="16"/>
      <c r="VQ822" s="16"/>
      <c r="VR822" s="16"/>
      <c r="VS822" s="16"/>
      <c r="VT822" s="16"/>
      <c r="VU822" s="16"/>
      <c r="VV822" s="16"/>
      <c r="VW822" s="16"/>
      <c r="VX822" s="16"/>
      <c r="VY822" s="16"/>
      <c r="VZ822" s="16"/>
      <c r="WA822" s="16"/>
      <c r="WB822" s="16"/>
      <c r="WC822" s="16"/>
      <c r="WD822" s="16"/>
      <c r="WE822" s="16"/>
      <c r="WF822" s="16"/>
      <c r="WG822" s="16"/>
      <c r="WH822" s="16"/>
      <c r="WI822" s="16"/>
      <c r="WJ822" s="16"/>
      <c r="WK822" s="16"/>
      <c r="WL822" s="16"/>
      <c r="WM822" s="16"/>
      <c r="WN822" s="16"/>
      <c r="WO822" s="16"/>
      <c r="WP822" s="16"/>
      <c r="WQ822" s="16"/>
      <c r="WR822" s="16"/>
      <c r="WS822" s="16"/>
      <c r="WT822" s="16"/>
      <c r="WU822" s="16"/>
      <c r="WV822" s="16"/>
      <c r="WW822" s="16"/>
      <c r="WX822" s="16"/>
      <c r="WY822" s="16"/>
      <c r="WZ822" s="16"/>
      <c r="XA822" s="16"/>
      <c r="XB822" s="16"/>
      <c r="XC822" s="16"/>
      <c r="XD822" s="16"/>
      <c r="XE822" s="16"/>
      <c r="XF822" s="16"/>
      <c r="XG822" s="16"/>
      <c r="XH822" s="16"/>
      <c r="XI822" s="16"/>
      <c r="XJ822" s="16"/>
      <c r="XK822" s="16"/>
      <c r="XL822" s="16"/>
      <c r="XM822" s="16"/>
      <c r="XN822" s="16"/>
      <c r="XO822" s="16"/>
      <c r="XP822" s="16"/>
      <c r="XQ822" s="16"/>
      <c r="XR822" s="16"/>
      <c r="XS822" s="16"/>
      <c r="XT822" s="16"/>
      <c r="XU822" s="16"/>
      <c r="XV822" s="16"/>
      <c r="XW822" s="16"/>
      <c r="XX822" s="16"/>
      <c r="XY822" s="16"/>
      <c r="XZ822" s="16"/>
      <c r="YA822" s="16"/>
      <c r="YB822" s="16"/>
      <c r="YC822" s="16"/>
      <c r="YD822" s="16"/>
      <c r="YE822" s="16"/>
      <c r="YF822" s="16"/>
      <c r="YG822" s="16"/>
      <c r="YH822" s="16"/>
      <c r="YI822" s="16"/>
      <c r="YJ822" s="16"/>
      <c r="YK822" s="16"/>
      <c r="YL822" s="16"/>
      <c r="YM822" s="16"/>
      <c r="YN822" s="16"/>
      <c r="YO822" s="16"/>
      <c r="YP822" s="16"/>
      <c r="YQ822" s="16"/>
      <c r="YR822" s="16"/>
      <c r="YS822" s="16"/>
      <c r="YT822" s="16"/>
      <c r="YU822" s="16"/>
      <c r="YV822" s="16"/>
      <c r="YW822" s="16"/>
      <c r="YX822" s="16"/>
      <c r="YY822" s="16"/>
      <c r="YZ822" s="16"/>
      <c r="ZA822" s="16"/>
      <c r="ZB822" s="16"/>
      <c r="ZC822" s="16"/>
      <c r="ZD822" s="16"/>
      <c r="ZE822" s="16"/>
      <c r="ZF822" s="16"/>
      <c r="ZG822" s="16"/>
      <c r="ZH822" s="16"/>
      <c r="ZI822" s="16"/>
      <c r="ZJ822" s="16"/>
      <c r="ZK822" s="16"/>
      <c r="ZL822" s="16"/>
      <c r="ZM822" s="16"/>
      <c r="ZN822" s="16"/>
      <c r="ZO822" s="16"/>
      <c r="ZP822" s="16"/>
      <c r="ZQ822" s="16"/>
      <c r="ZR822" s="16"/>
      <c r="ZS822" s="16"/>
      <c r="ZT822" s="16"/>
      <c r="ZU822" s="16"/>
      <c r="ZV822" s="16"/>
      <c r="ZW822" s="16"/>
      <c r="ZX822" s="16"/>
      <c r="ZY822" s="16"/>
      <c r="ZZ822" s="16"/>
      <c r="AAA822" s="16"/>
      <c r="AAB822" s="16"/>
      <c r="AAC822" s="16"/>
      <c r="AAD822" s="16"/>
      <c r="AAE822" s="16"/>
      <c r="AAF822" s="16"/>
      <c r="AAG822" s="16"/>
      <c r="AAH822" s="16"/>
      <c r="AAI822" s="16"/>
      <c r="AAJ822" s="16"/>
      <c r="AAK822" s="16"/>
      <c r="AAL822" s="16"/>
      <c r="AAM822" s="16"/>
      <c r="AAN822" s="16"/>
      <c r="AAO822" s="16"/>
      <c r="AAP822" s="16"/>
      <c r="AAQ822" s="16"/>
      <c r="AAR822" s="16"/>
      <c r="AAS822" s="16"/>
      <c r="AAT822" s="16"/>
      <c r="AAU822" s="16"/>
      <c r="AAV822" s="16"/>
      <c r="AAW822" s="16"/>
      <c r="AAX822" s="16"/>
      <c r="AAY822" s="16"/>
      <c r="AAZ822" s="16"/>
      <c r="ABA822" s="16"/>
      <c r="ABB822" s="16"/>
      <c r="ABC822" s="16"/>
      <c r="ABD822" s="16"/>
      <c r="ABE822" s="16"/>
      <c r="ABF822" s="16"/>
      <c r="ABG822" s="16"/>
      <c r="ABH822" s="16"/>
      <c r="ABI822" s="16"/>
      <c r="ABJ822" s="16"/>
      <c r="ABK822" s="16"/>
      <c r="ABL822" s="16"/>
      <c r="ABM822" s="16"/>
      <c r="ABN822" s="16"/>
      <c r="ABO822" s="16"/>
      <c r="ABP822" s="16"/>
      <c r="ABQ822" s="16"/>
      <c r="ABR822" s="16"/>
      <c r="ABS822" s="16"/>
      <c r="ABT822" s="16"/>
      <c r="ABU822" s="16"/>
      <c r="ABV822" s="16"/>
      <c r="ABW822" s="16"/>
      <c r="ABX822" s="16"/>
      <c r="ABY822" s="16"/>
      <c r="ABZ822" s="16"/>
      <c r="ACA822" s="16"/>
      <c r="ACB822" s="16"/>
      <c r="ACC822" s="16"/>
      <c r="ACD822" s="16"/>
      <c r="ACE822" s="16"/>
      <c r="ACF822" s="16"/>
      <c r="ACG822" s="16"/>
      <c r="ACH822" s="16"/>
      <c r="ACI822" s="16"/>
      <c r="ACJ822" s="16"/>
      <c r="ACK822" s="16"/>
      <c r="ACL822" s="16"/>
      <c r="ACM822" s="16"/>
      <c r="ACN822" s="16"/>
      <c r="ACO822" s="16"/>
      <c r="ACP822" s="16"/>
      <c r="ACQ822" s="16"/>
      <c r="ACR822" s="16"/>
      <c r="ACS822" s="16"/>
      <c r="ACT822" s="16"/>
      <c r="ACU822" s="16"/>
      <c r="ACV822" s="16"/>
      <c r="ACW822" s="16"/>
      <c r="ACX822" s="16"/>
      <c r="ACY822" s="16"/>
      <c r="ACZ822" s="16"/>
      <c r="ADA822" s="16"/>
      <c r="ADB822" s="16"/>
      <c r="ADC822" s="16"/>
      <c r="ADD822" s="16"/>
      <c r="ADE822" s="16"/>
      <c r="ADF822" s="16"/>
      <c r="ADG822" s="16"/>
      <c r="ADH822" s="16"/>
      <c r="ADI822" s="16"/>
      <c r="ADJ822" s="16"/>
      <c r="ADK822" s="16"/>
      <c r="ADL822" s="16"/>
      <c r="ADM822" s="16"/>
      <c r="ADN822" s="16"/>
      <c r="ADO822" s="16"/>
      <c r="ADP822" s="16"/>
      <c r="ADQ822" s="16"/>
      <c r="ADR822" s="16"/>
      <c r="ADS822" s="16"/>
      <c r="ADT822" s="16"/>
      <c r="ADU822" s="16"/>
      <c r="ADV822" s="16"/>
      <c r="ADW822" s="16"/>
      <c r="ADX822" s="16"/>
      <c r="ADY822" s="16"/>
      <c r="ADZ822" s="16"/>
      <c r="AEA822" s="16"/>
      <c r="AEB822" s="16"/>
      <c r="AEC822" s="16"/>
      <c r="AED822" s="16"/>
      <c r="AEE822" s="16"/>
      <c r="AEF822" s="16"/>
      <c r="AEG822" s="16"/>
      <c r="AEH822" s="16"/>
      <c r="AEI822" s="16"/>
      <c r="AEJ822" s="16"/>
      <c r="AEK822" s="16"/>
      <c r="AEL822" s="16"/>
      <c r="AEM822" s="16"/>
      <c r="AEN822" s="16"/>
      <c r="AEO822" s="16"/>
      <c r="AEP822" s="16"/>
      <c r="AEQ822" s="16"/>
      <c r="AER822" s="16"/>
      <c r="AES822" s="16"/>
      <c r="AET822" s="16"/>
      <c r="AEU822" s="16"/>
      <c r="AEV822" s="16"/>
      <c r="AEW822" s="16"/>
      <c r="AEX822" s="16"/>
      <c r="AEY822" s="16"/>
      <c r="AEZ822" s="16"/>
      <c r="AFA822" s="16"/>
      <c r="AFB822" s="16"/>
      <c r="AFC822" s="16"/>
      <c r="AFD822" s="16"/>
      <c r="AFE822" s="16"/>
      <c r="AFF822" s="16"/>
      <c r="AFG822" s="16"/>
      <c r="AFH822" s="16"/>
      <c r="AFI822" s="16"/>
      <c r="AFJ822" s="16"/>
      <c r="AFK822" s="16"/>
      <c r="AFL822" s="16"/>
      <c r="AFM822" s="16"/>
      <c r="AFN822" s="16"/>
      <c r="AFO822" s="16"/>
      <c r="AFP822" s="16"/>
      <c r="AFQ822" s="16"/>
      <c r="AFR822" s="16"/>
      <c r="AFS822" s="16"/>
      <c r="AFT822" s="16"/>
      <c r="AFU822" s="16"/>
      <c r="AFV822" s="16"/>
      <c r="AFW822" s="16"/>
      <c r="AFX822" s="16"/>
      <c r="AFY822" s="16"/>
      <c r="AFZ822" s="16"/>
      <c r="AGA822" s="16"/>
      <c r="AGB822" s="16"/>
      <c r="AGC822" s="16"/>
      <c r="AGD822" s="16"/>
      <c r="AGE822" s="16"/>
      <c r="AGF822" s="16"/>
      <c r="AGG822" s="16"/>
      <c r="AGH822" s="16"/>
      <c r="AGI822" s="16"/>
      <c r="AGJ822" s="16"/>
    </row>
    <row r="823" spans="1:868" hidden="1">
      <c r="A823" s="151" t="s">
        <v>121</v>
      </c>
      <c r="B823" s="34" t="s">
        <v>354</v>
      </c>
      <c r="C823" s="40" t="s">
        <v>139</v>
      </c>
      <c r="D823" s="34" t="s">
        <v>91</v>
      </c>
      <c r="E823" s="257">
        <v>0.30372334961384378</v>
      </c>
      <c r="F823" s="232">
        <v>1</v>
      </c>
      <c r="G823" s="40"/>
      <c r="H823" s="29">
        <v>3</v>
      </c>
      <c r="I823" s="9">
        <v>3</v>
      </c>
      <c r="J823" s="9">
        <v>2</v>
      </c>
      <c r="K823" s="9">
        <v>2</v>
      </c>
      <c r="L823" s="9">
        <v>1</v>
      </c>
      <c r="M823" s="9">
        <v>2</v>
      </c>
      <c r="N823" s="185">
        <f t="shared" si="53"/>
        <v>0.50042652380814845</v>
      </c>
      <c r="O823" s="159">
        <f t="shared" si="54"/>
        <v>0.50042652380814845</v>
      </c>
      <c r="P823" s="63"/>
    </row>
    <row r="824" spans="1:868" hidden="1">
      <c r="A824" s="151" t="s">
        <v>121</v>
      </c>
      <c r="B824" s="34" t="s">
        <v>354</v>
      </c>
      <c r="C824" s="40" t="s">
        <v>139</v>
      </c>
      <c r="D824" s="34" t="s">
        <v>95</v>
      </c>
      <c r="E824" s="257">
        <v>0.46776568999142792</v>
      </c>
      <c r="F824" s="232">
        <v>1</v>
      </c>
      <c r="G824" s="40"/>
      <c r="H824" s="29">
        <v>3</v>
      </c>
      <c r="I824" s="9">
        <v>3</v>
      </c>
      <c r="J824" s="9">
        <v>2</v>
      </c>
      <c r="K824" s="9">
        <v>2</v>
      </c>
      <c r="L824" s="9">
        <v>1</v>
      </c>
      <c r="M824" s="9">
        <v>2</v>
      </c>
      <c r="N824" s="185">
        <f t="shared" si="53"/>
        <v>0.50042652380814845</v>
      </c>
      <c r="O824" s="159">
        <f t="shared" si="54"/>
        <v>0.50042652380814845</v>
      </c>
      <c r="P824" s="63"/>
    </row>
    <row r="825" spans="1:868" hidden="1">
      <c r="A825" s="151" t="s">
        <v>256</v>
      </c>
      <c r="B825" s="34" t="s">
        <v>267</v>
      </c>
      <c r="C825" s="40" t="s">
        <v>182</v>
      </c>
      <c r="D825" s="69" t="s">
        <v>95</v>
      </c>
      <c r="E825" s="848">
        <v>0.2368318376902068</v>
      </c>
      <c r="F825" s="34">
        <v>1</v>
      </c>
      <c r="G825" s="339" t="s">
        <v>126</v>
      </c>
      <c r="H825" s="29"/>
      <c r="I825" s="9">
        <v>1</v>
      </c>
      <c r="J825" s="9">
        <v>1</v>
      </c>
      <c r="K825" s="9">
        <v>1</v>
      </c>
      <c r="L825" s="9">
        <v>2</v>
      </c>
      <c r="M825" s="9">
        <v>2</v>
      </c>
      <c r="N825" s="185" t="str">
        <f t="shared" si="53"/>
        <v/>
      </c>
      <c r="O825" s="159">
        <f t="shared" si="54"/>
        <v>0.35859414261160716</v>
      </c>
      <c r="P825" s="63"/>
    </row>
    <row r="826" spans="1:868" hidden="1">
      <c r="A826" s="151" t="s">
        <v>256</v>
      </c>
      <c r="B826" s="34" t="s">
        <v>267</v>
      </c>
      <c r="C826" s="40" t="s">
        <v>182</v>
      </c>
      <c r="D826" s="69" t="s">
        <v>93</v>
      </c>
      <c r="E826" s="848">
        <v>0.16604287172507659</v>
      </c>
      <c r="F826" s="34">
        <v>1</v>
      </c>
      <c r="G826" s="339" t="s">
        <v>126</v>
      </c>
      <c r="H826" s="29"/>
      <c r="I826" s="9">
        <v>1</v>
      </c>
      <c r="J826" s="9">
        <v>1</v>
      </c>
      <c r="K826" s="9">
        <v>1</v>
      </c>
      <c r="L826" s="9">
        <v>2</v>
      </c>
      <c r="M826" s="9">
        <v>2</v>
      </c>
      <c r="N826" s="185" t="str">
        <f t="shared" ref="N826" si="55">IF( OR( ISBLANK(H826),ISBLANK(J826), ISBLANK(K826), ISBLANK(L826), ISBLANK(M826) ), "", 1.5*SQRT(   EXP(2.21*(H826-1)) + EXP(2.21*(J826-1)) + EXP(2.21*(K826-1)) + EXP(2.21*(L826-1)) + EXP(2.21*M826)   )/100*2.45 )</f>
        <v/>
      </c>
      <c r="O826" s="159">
        <f t="shared" ref="O826" si="56">IF( OR( ISBLANK(I826),ISBLANK(J826), ISBLANK(K826), ISBLANK(L826), ISBLANK(M826) ), "", 1.5*SQRT( EXP(2.21*(I826-1)) + EXP(2.21*(J826-1)) + EXP(2.21*(K826-1)) + EXP(2.21*(L826-1)) + EXP(2.21*M826)   )/100*2.45 )</f>
        <v>0.35859414261160716</v>
      </c>
      <c r="P826" s="63"/>
    </row>
    <row r="827" spans="1:868" hidden="1">
      <c r="A827" s="151" t="s">
        <v>256</v>
      </c>
      <c r="B827" s="34" t="s">
        <v>267</v>
      </c>
      <c r="C827" s="40" t="s">
        <v>182</v>
      </c>
      <c r="D827" s="69" t="s">
        <v>98</v>
      </c>
      <c r="E827" s="848">
        <v>0.34568127636163581</v>
      </c>
      <c r="F827" s="34">
        <v>1</v>
      </c>
      <c r="G827" s="339" t="s">
        <v>126</v>
      </c>
      <c r="H827" s="29"/>
      <c r="I827" s="9">
        <v>1</v>
      </c>
      <c r="J827" s="9">
        <v>1</v>
      </c>
      <c r="K827" s="9">
        <v>1</v>
      </c>
      <c r="L827" s="9">
        <v>2</v>
      </c>
      <c r="M827" s="9">
        <v>2</v>
      </c>
      <c r="N827" s="185" t="str">
        <f t="shared" si="53"/>
        <v/>
      </c>
      <c r="O827" s="159">
        <f t="shared" si="54"/>
        <v>0.35859414261160716</v>
      </c>
      <c r="P827" s="63"/>
    </row>
    <row r="828" spans="1:868" s="210" customFormat="1" ht="15" hidden="1" thickBot="1">
      <c r="A828" s="151" t="s">
        <v>397</v>
      </c>
      <c r="B828" s="34" t="s">
        <v>231</v>
      </c>
      <c r="C828" s="40" t="s">
        <v>139</v>
      </c>
      <c r="D828" s="34" t="s">
        <v>139</v>
      </c>
      <c r="E828" s="262">
        <v>0.05</v>
      </c>
      <c r="F828" s="232">
        <v>2</v>
      </c>
      <c r="G828" s="40" t="s">
        <v>276</v>
      </c>
      <c r="H828" s="29">
        <v>1</v>
      </c>
      <c r="I828" s="9">
        <v>2</v>
      </c>
      <c r="J828" s="9">
        <v>1</v>
      </c>
      <c r="K828" s="9">
        <v>1</v>
      </c>
      <c r="L828" s="9">
        <v>2</v>
      </c>
      <c r="M828" s="9">
        <v>3</v>
      </c>
      <c r="N828" s="185">
        <f t="shared" si="53"/>
        <v>1.0195048044558224</v>
      </c>
      <c r="O828" s="159">
        <f t="shared" si="54"/>
        <v>1.0248662490928169</v>
      </c>
      <c r="P828" s="838"/>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c r="JS828" s="16"/>
      <c r="JT828" s="16"/>
      <c r="JU828" s="16"/>
      <c r="JV828" s="16"/>
      <c r="JW828" s="16"/>
      <c r="JX828" s="16"/>
      <c r="JY828" s="16"/>
      <c r="JZ828" s="16"/>
      <c r="KA828" s="16"/>
      <c r="KB828" s="16"/>
      <c r="KC828" s="16"/>
      <c r="KD828" s="16"/>
      <c r="KE828" s="16"/>
      <c r="KF828" s="16"/>
      <c r="KG828" s="16"/>
      <c r="KH828" s="16"/>
      <c r="KI828" s="16"/>
      <c r="KJ828" s="16"/>
      <c r="KK828" s="16"/>
      <c r="KL828" s="16"/>
      <c r="KM828" s="16"/>
      <c r="KN828" s="16"/>
      <c r="KO828" s="16"/>
      <c r="KP828" s="16"/>
      <c r="KQ828" s="16"/>
      <c r="KR828" s="16"/>
      <c r="KS828" s="16"/>
      <c r="KT828" s="16"/>
      <c r="KU828" s="16"/>
      <c r="KV828" s="16"/>
      <c r="KW828" s="16"/>
      <c r="KX828" s="16"/>
      <c r="KY828" s="16"/>
      <c r="KZ828" s="16"/>
      <c r="LA828" s="16"/>
      <c r="LB828" s="16"/>
      <c r="LC828" s="16"/>
      <c r="LD828" s="16"/>
      <c r="LE828" s="16"/>
      <c r="LF828" s="16"/>
      <c r="LG828" s="16"/>
      <c r="LH828" s="16"/>
      <c r="LI828" s="16"/>
      <c r="LJ828" s="16"/>
      <c r="LK828" s="16"/>
      <c r="LL828" s="16"/>
      <c r="LM828" s="16"/>
      <c r="LN828" s="16"/>
      <c r="LO828" s="16"/>
      <c r="LP828" s="16"/>
      <c r="LQ828" s="16"/>
      <c r="LR828" s="16"/>
      <c r="LS828" s="16"/>
      <c r="LT828" s="16"/>
      <c r="LU828" s="16"/>
      <c r="LV828" s="16"/>
      <c r="LW828" s="16"/>
      <c r="LX828" s="16"/>
      <c r="LY828" s="16"/>
      <c r="LZ828" s="16"/>
      <c r="MA828" s="16"/>
      <c r="MB828" s="16"/>
      <c r="MC828" s="16"/>
      <c r="MD828" s="16"/>
      <c r="ME828" s="16"/>
      <c r="MF828" s="16"/>
      <c r="MG828" s="16"/>
      <c r="MH828" s="16"/>
      <c r="MI828" s="16"/>
      <c r="MJ828" s="16"/>
      <c r="MK828" s="16"/>
      <c r="ML828" s="16"/>
      <c r="MM828" s="16"/>
      <c r="MN828" s="16"/>
      <c r="MO828" s="16"/>
      <c r="MP828" s="16"/>
      <c r="MQ828" s="16"/>
      <c r="MR828" s="16"/>
      <c r="MS828" s="16"/>
      <c r="MT828" s="16"/>
      <c r="MU828" s="16"/>
      <c r="MV828" s="16"/>
      <c r="MW828" s="16"/>
      <c r="MX828" s="16"/>
      <c r="MY828" s="16"/>
      <c r="MZ828" s="16"/>
      <c r="NA828" s="16"/>
      <c r="NB828" s="16"/>
      <c r="NC828" s="16"/>
      <c r="ND828" s="16"/>
      <c r="NE828" s="16"/>
      <c r="NF828" s="16"/>
      <c r="NG828" s="16"/>
      <c r="NH828" s="16"/>
      <c r="NI828" s="16"/>
      <c r="NJ828" s="16"/>
      <c r="NK828" s="16"/>
      <c r="NL828" s="16"/>
      <c r="NM828" s="16"/>
      <c r="NN828" s="16"/>
      <c r="NO828" s="16"/>
      <c r="NP828" s="16"/>
      <c r="NQ828" s="16"/>
      <c r="NR828" s="16"/>
      <c r="NS828" s="16"/>
      <c r="NT828" s="16"/>
      <c r="NU828" s="16"/>
      <c r="NV828" s="16"/>
      <c r="NW828" s="16"/>
      <c r="NX828" s="16"/>
      <c r="NY828" s="16"/>
      <c r="NZ828" s="16"/>
      <c r="OA828" s="16"/>
      <c r="OB828" s="16"/>
      <c r="OC828" s="16"/>
      <c r="OD828" s="16"/>
      <c r="OE828" s="16"/>
      <c r="OF828" s="16"/>
      <c r="OG828" s="16"/>
      <c r="OH828" s="16"/>
      <c r="OI828" s="16"/>
      <c r="OJ828" s="16"/>
      <c r="OK828" s="16"/>
      <c r="OL828" s="16"/>
      <c r="OM828" s="16"/>
      <c r="ON828" s="16"/>
      <c r="OO828" s="16"/>
      <c r="OP828" s="16"/>
      <c r="OQ828" s="16"/>
      <c r="OR828" s="16"/>
      <c r="OS828" s="16"/>
      <c r="OT828" s="16"/>
      <c r="OU828" s="16"/>
      <c r="OV828" s="16"/>
      <c r="OW828" s="16"/>
      <c r="OX828" s="16"/>
      <c r="OY828" s="16"/>
      <c r="OZ828" s="16"/>
      <c r="PA828" s="16"/>
      <c r="PB828" s="16"/>
      <c r="PC828" s="16"/>
      <c r="PD828" s="16"/>
      <c r="PE828" s="16"/>
      <c r="PF828" s="16"/>
      <c r="PG828" s="16"/>
      <c r="PH828" s="16"/>
      <c r="PI828" s="16"/>
      <c r="PJ828" s="16"/>
      <c r="PK828" s="16"/>
      <c r="PL828" s="16"/>
      <c r="PM828" s="16"/>
      <c r="PN828" s="16"/>
      <c r="PO828" s="16"/>
      <c r="PP828" s="16"/>
      <c r="PQ828" s="16"/>
      <c r="PR828" s="16"/>
      <c r="PS828" s="16"/>
      <c r="PT828" s="16"/>
      <c r="PU828" s="16"/>
      <c r="PV828" s="16"/>
      <c r="PW828" s="16"/>
      <c r="PX828" s="16"/>
      <c r="PY828" s="16"/>
      <c r="PZ828" s="16"/>
      <c r="QA828" s="16"/>
      <c r="QB828" s="16"/>
      <c r="QC828" s="16"/>
      <c r="QD828" s="16"/>
      <c r="QE828" s="16"/>
      <c r="QF828" s="16"/>
      <c r="QG828" s="16"/>
      <c r="QH828" s="16"/>
      <c r="QI828" s="16"/>
      <c r="QJ828" s="16"/>
      <c r="QK828" s="16"/>
      <c r="QL828" s="16"/>
      <c r="QM828" s="16"/>
      <c r="QN828" s="16"/>
      <c r="QO828" s="16"/>
      <c r="QP828" s="16"/>
      <c r="QQ828" s="16"/>
      <c r="QR828" s="16"/>
      <c r="QS828" s="16"/>
      <c r="QT828" s="16"/>
      <c r="QU828" s="16"/>
      <c r="QV828" s="16"/>
      <c r="QW828" s="16"/>
      <c r="QX828" s="16"/>
      <c r="QY828" s="16"/>
      <c r="QZ828" s="16"/>
      <c r="RA828" s="16"/>
      <c r="RB828" s="16"/>
      <c r="RC828" s="16"/>
      <c r="RD828" s="16"/>
      <c r="RE828" s="16"/>
      <c r="RF828" s="16"/>
      <c r="RG828" s="16"/>
      <c r="RH828" s="16"/>
      <c r="RI828" s="16"/>
      <c r="RJ828" s="16"/>
      <c r="RK828" s="16"/>
      <c r="RL828" s="16"/>
      <c r="RM828" s="16"/>
      <c r="RN828" s="16"/>
      <c r="RO828" s="16"/>
      <c r="RP828" s="16"/>
      <c r="RQ828" s="16"/>
      <c r="RR828" s="16"/>
      <c r="RS828" s="16"/>
      <c r="RT828" s="16"/>
      <c r="RU828" s="16"/>
      <c r="RV828" s="16"/>
      <c r="RW828" s="16"/>
      <c r="RX828" s="16"/>
      <c r="RY828" s="16"/>
      <c r="RZ828" s="16"/>
      <c r="SA828" s="16"/>
      <c r="SB828" s="16"/>
      <c r="SC828" s="16"/>
      <c r="SD828" s="16"/>
      <c r="SE828" s="16"/>
      <c r="SF828" s="16"/>
      <c r="SG828" s="16"/>
      <c r="SH828" s="16"/>
      <c r="SI828" s="16"/>
      <c r="SJ828" s="16"/>
      <c r="SK828" s="16"/>
      <c r="SL828" s="16"/>
      <c r="SM828" s="16"/>
      <c r="SN828" s="16"/>
      <c r="SO828" s="16"/>
      <c r="SP828" s="16"/>
      <c r="SQ828" s="16"/>
      <c r="SR828" s="16"/>
      <c r="SS828" s="16"/>
      <c r="ST828" s="16"/>
      <c r="SU828" s="16"/>
      <c r="SV828" s="16"/>
      <c r="SW828" s="16"/>
      <c r="SX828" s="16"/>
      <c r="SY828" s="16"/>
      <c r="SZ828" s="16"/>
      <c r="TA828" s="16"/>
      <c r="TB828" s="16"/>
      <c r="TC828" s="16"/>
      <c r="TD828" s="16"/>
      <c r="TE828" s="16"/>
      <c r="TF828" s="16"/>
      <c r="TG828" s="16"/>
      <c r="TH828" s="16"/>
      <c r="TI828" s="16"/>
      <c r="TJ828" s="16"/>
      <c r="TK828" s="16"/>
      <c r="TL828" s="16"/>
      <c r="TM828" s="16"/>
      <c r="TN828" s="16"/>
      <c r="TO828" s="16"/>
      <c r="TP828" s="16"/>
      <c r="TQ828" s="16"/>
      <c r="TR828" s="16"/>
      <c r="TS828" s="16"/>
      <c r="TT828" s="16"/>
      <c r="TU828" s="16"/>
      <c r="TV828" s="16"/>
      <c r="TW828" s="16"/>
      <c r="TX828" s="16"/>
      <c r="TY828" s="16"/>
      <c r="TZ828" s="16"/>
      <c r="UA828" s="16"/>
      <c r="UB828" s="16"/>
      <c r="UC828" s="16"/>
      <c r="UD828" s="16"/>
      <c r="UE828" s="16"/>
      <c r="UF828" s="16"/>
      <c r="UG828" s="16"/>
      <c r="UH828" s="16"/>
      <c r="UI828" s="16"/>
      <c r="UJ828" s="16"/>
      <c r="UK828" s="16"/>
      <c r="UL828" s="16"/>
      <c r="UM828" s="16"/>
      <c r="UN828" s="16"/>
      <c r="UO828" s="16"/>
      <c r="UP828" s="16"/>
      <c r="UQ828" s="16"/>
      <c r="UR828" s="16"/>
      <c r="US828" s="16"/>
      <c r="UT828" s="16"/>
      <c r="UU828" s="16"/>
      <c r="UV828" s="16"/>
      <c r="UW828" s="16"/>
      <c r="UX828" s="16"/>
      <c r="UY828" s="16"/>
      <c r="UZ828" s="16"/>
      <c r="VA828" s="16"/>
      <c r="VB828" s="16"/>
      <c r="VC828" s="16"/>
      <c r="VD828" s="16"/>
      <c r="VE828" s="16"/>
      <c r="VF828" s="16"/>
      <c r="VG828" s="16"/>
      <c r="VH828" s="16"/>
      <c r="VI828" s="16"/>
      <c r="VJ828" s="16"/>
      <c r="VK828" s="16"/>
      <c r="VL828" s="16"/>
      <c r="VM828" s="16"/>
      <c r="VN828" s="16"/>
      <c r="VO828" s="16"/>
      <c r="VP828" s="16"/>
      <c r="VQ828" s="16"/>
      <c r="VR828" s="16"/>
      <c r="VS828" s="16"/>
      <c r="VT828" s="16"/>
      <c r="VU828" s="16"/>
      <c r="VV828" s="16"/>
      <c r="VW828" s="16"/>
      <c r="VX828" s="16"/>
      <c r="VY828" s="16"/>
      <c r="VZ828" s="16"/>
      <c r="WA828" s="16"/>
      <c r="WB828" s="16"/>
      <c r="WC828" s="16"/>
      <c r="WD828" s="16"/>
      <c r="WE828" s="16"/>
      <c r="WF828" s="16"/>
      <c r="WG828" s="16"/>
      <c r="WH828" s="16"/>
      <c r="WI828" s="16"/>
      <c r="WJ828" s="16"/>
      <c r="WK828" s="16"/>
      <c r="WL828" s="16"/>
      <c r="WM828" s="16"/>
      <c r="WN828" s="16"/>
      <c r="WO828" s="16"/>
      <c r="WP828" s="16"/>
      <c r="WQ828" s="16"/>
      <c r="WR828" s="16"/>
      <c r="WS828" s="16"/>
      <c r="WT828" s="16"/>
      <c r="WU828" s="16"/>
      <c r="WV828" s="16"/>
      <c r="WW828" s="16"/>
      <c r="WX828" s="16"/>
      <c r="WY828" s="16"/>
      <c r="WZ828" s="16"/>
      <c r="XA828" s="16"/>
      <c r="XB828" s="16"/>
      <c r="XC828" s="16"/>
      <c r="XD828" s="16"/>
      <c r="XE828" s="16"/>
      <c r="XF828" s="16"/>
      <c r="XG828" s="16"/>
      <c r="XH828" s="16"/>
      <c r="XI828" s="16"/>
      <c r="XJ828" s="16"/>
      <c r="XK828" s="16"/>
      <c r="XL828" s="16"/>
      <c r="XM828" s="16"/>
      <c r="XN828" s="16"/>
      <c r="XO828" s="16"/>
      <c r="XP828" s="16"/>
      <c r="XQ828" s="16"/>
      <c r="XR828" s="16"/>
      <c r="XS828" s="16"/>
      <c r="XT828" s="16"/>
      <c r="XU828" s="16"/>
      <c r="XV828" s="16"/>
      <c r="XW828" s="16"/>
      <c r="XX828" s="16"/>
      <c r="XY828" s="16"/>
      <c r="XZ828" s="16"/>
      <c r="YA828" s="16"/>
      <c r="YB828" s="16"/>
      <c r="YC828" s="16"/>
      <c r="YD828" s="16"/>
      <c r="YE828" s="16"/>
      <c r="YF828" s="16"/>
      <c r="YG828" s="16"/>
      <c r="YH828" s="16"/>
      <c r="YI828" s="16"/>
      <c r="YJ828" s="16"/>
      <c r="YK828" s="16"/>
      <c r="YL828" s="16"/>
      <c r="YM828" s="16"/>
      <c r="YN828" s="16"/>
      <c r="YO828" s="16"/>
      <c r="YP828" s="16"/>
      <c r="YQ828" s="16"/>
      <c r="YR828" s="16"/>
      <c r="YS828" s="16"/>
      <c r="YT828" s="16"/>
      <c r="YU828" s="16"/>
      <c r="YV828" s="16"/>
      <c r="YW828" s="16"/>
      <c r="YX828" s="16"/>
      <c r="YY828" s="16"/>
      <c r="YZ828" s="16"/>
      <c r="ZA828" s="16"/>
      <c r="ZB828" s="16"/>
      <c r="ZC828" s="16"/>
      <c r="ZD828" s="16"/>
      <c r="ZE828" s="16"/>
      <c r="ZF828" s="16"/>
      <c r="ZG828" s="16"/>
      <c r="ZH828" s="16"/>
      <c r="ZI828" s="16"/>
      <c r="ZJ828" s="16"/>
      <c r="ZK828" s="16"/>
      <c r="ZL828" s="16"/>
      <c r="ZM828" s="16"/>
      <c r="ZN828" s="16"/>
      <c r="ZO828" s="16"/>
      <c r="ZP828" s="16"/>
      <c r="ZQ828" s="16"/>
      <c r="ZR828" s="16"/>
      <c r="ZS828" s="16"/>
      <c r="ZT828" s="16"/>
      <c r="ZU828" s="16"/>
      <c r="ZV828" s="16"/>
      <c r="ZW828" s="16"/>
      <c r="ZX828" s="16"/>
      <c r="ZY828" s="16"/>
      <c r="ZZ828" s="16"/>
      <c r="AAA828" s="16"/>
      <c r="AAB828" s="16"/>
      <c r="AAC828" s="16"/>
      <c r="AAD828" s="16"/>
      <c r="AAE828" s="16"/>
      <c r="AAF828" s="16"/>
      <c r="AAG828" s="16"/>
      <c r="AAH828" s="16"/>
      <c r="AAI828" s="16"/>
      <c r="AAJ828" s="16"/>
      <c r="AAK828" s="16"/>
      <c r="AAL828" s="16"/>
      <c r="AAM828" s="16"/>
      <c r="AAN828" s="16"/>
      <c r="AAO828" s="16"/>
      <c r="AAP828" s="16"/>
      <c r="AAQ828" s="16"/>
      <c r="AAR828" s="16"/>
      <c r="AAS828" s="16"/>
      <c r="AAT828" s="16"/>
      <c r="AAU828" s="16"/>
      <c r="AAV828" s="16"/>
      <c r="AAW828" s="16"/>
      <c r="AAX828" s="16"/>
      <c r="AAY828" s="16"/>
      <c r="AAZ828" s="16"/>
      <c r="ABA828" s="16"/>
      <c r="ABB828" s="16"/>
      <c r="ABC828" s="16"/>
      <c r="ABD828" s="16"/>
      <c r="ABE828" s="16"/>
      <c r="ABF828" s="16"/>
      <c r="ABG828" s="16"/>
      <c r="ABH828" s="16"/>
      <c r="ABI828" s="16"/>
      <c r="ABJ828" s="16"/>
      <c r="ABK828" s="16"/>
      <c r="ABL828" s="16"/>
      <c r="ABM828" s="16"/>
      <c r="ABN828" s="16"/>
      <c r="ABO828" s="16"/>
      <c r="ABP828" s="16"/>
      <c r="ABQ828" s="16"/>
      <c r="ABR828" s="16"/>
      <c r="ABS828" s="16"/>
      <c r="ABT828" s="16"/>
      <c r="ABU828" s="16"/>
      <c r="ABV828" s="16"/>
      <c r="ABW828" s="16"/>
      <c r="ABX828" s="16"/>
      <c r="ABY828" s="16"/>
      <c r="ABZ828" s="16"/>
      <c r="ACA828" s="16"/>
      <c r="ACB828" s="16"/>
      <c r="ACC828" s="16"/>
      <c r="ACD828" s="16"/>
      <c r="ACE828" s="16"/>
      <c r="ACF828" s="16"/>
      <c r="ACG828" s="16"/>
      <c r="ACH828" s="16"/>
      <c r="ACI828" s="16"/>
      <c r="ACJ828" s="16"/>
      <c r="ACK828" s="16"/>
      <c r="ACL828" s="16"/>
      <c r="ACM828" s="16"/>
      <c r="ACN828" s="16"/>
      <c r="ACO828" s="16"/>
      <c r="ACP828" s="16"/>
      <c r="ACQ828" s="16"/>
      <c r="ACR828" s="16"/>
      <c r="ACS828" s="16"/>
      <c r="ACT828" s="16"/>
      <c r="ACU828" s="16"/>
      <c r="ACV828" s="16"/>
      <c r="ACW828" s="16"/>
      <c r="ACX828" s="16"/>
      <c r="ACY828" s="16"/>
      <c r="ACZ828" s="16"/>
      <c r="ADA828" s="16"/>
      <c r="ADB828" s="16"/>
      <c r="ADC828" s="16"/>
      <c r="ADD828" s="16"/>
      <c r="ADE828" s="16"/>
      <c r="ADF828" s="16"/>
      <c r="ADG828" s="16"/>
      <c r="ADH828" s="16"/>
      <c r="ADI828" s="16"/>
      <c r="ADJ828" s="16"/>
      <c r="ADK828" s="16"/>
      <c r="ADL828" s="16"/>
      <c r="ADM828" s="16"/>
      <c r="ADN828" s="16"/>
      <c r="ADO828" s="16"/>
      <c r="ADP828" s="16"/>
      <c r="ADQ828" s="16"/>
      <c r="ADR828" s="16"/>
      <c r="ADS828" s="16"/>
      <c r="ADT828" s="16"/>
      <c r="ADU828" s="16"/>
      <c r="ADV828" s="16"/>
      <c r="ADW828" s="16"/>
      <c r="ADX828" s="16"/>
      <c r="ADY828" s="16"/>
      <c r="ADZ828" s="16"/>
      <c r="AEA828" s="16"/>
      <c r="AEB828" s="16"/>
      <c r="AEC828" s="16"/>
      <c r="AED828" s="16"/>
      <c r="AEE828" s="16"/>
      <c r="AEF828" s="16"/>
      <c r="AEG828" s="16"/>
      <c r="AEH828" s="16"/>
      <c r="AEI828" s="16"/>
      <c r="AEJ828" s="16"/>
      <c r="AEK828" s="16"/>
      <c r="AEL828" s="16"/>
      <c r="AEM828" s="16"/>
      <c r="AEN828" s="16"/>
      <c r="AEO828" s="16"/>
      <c r="AEP828" s="16"/>
      <c r="AEQ828" s="16"/>
      <c r="AER828" s="16"/>
      <c r="AES828" s="16"/>
      <c r="AET828" s="16"/>
      <c r="AEU828" s="16"/>
      <c r="AEV828" s="16"/>
      <c r="AEW828" s="16"/>
      <c r="AEX828" s="16"/>
      <c r="AEY828" s="16"/>
      <c r="AEZ828" s="16"/>
      <c r="AFA828" s="16"/>
      <c r="AFB828" s="16"/>
      <c r="AFC828" s="16"/>
      <c r="AFD828" s="16"/>
      <c r="AFE828" s="16"/>
      <c r="AFF828" s="16"/>
      <c r="AFG828" s="16"/>
      <c r="AFH828" s="16"/>
      <c r="AFI828" s="16"/>
      <c r="AFJ828" s="16"/>
      <c r="AFK828" s="16"/>
      <c r="AFL828" s="16"/>
      <c r="AFM828" s="16"/>
      <c r="AFN828" s="16"/>
      <c r="AFO828" s="16"/>
      <c r="AFP828" s="16"/>
      <c r="AFQ828" s="16"/>
      <c r="AFR828" s="16"/>
      <c r="AFS828" s="16"/>
      <c r="AFT828" s="16"/>
      <c r="AFU828" s="16"/>
      <c r="AFV828" s="16"/>
      <c r="AFW828" s="16"/>
      <c r="AFX828" s="16"/>
      <c r="AFY828" s="16"/>
      <c r="AFZ828" s="16"/>
      <c r="AGA828" s="16"/>
      <c r="AGB828" s="16"/>
      <c r="AGC828" s="16"/>
      <c r="AGD828" s="16"/>
      <c r="AGE828" s="16"/>
      <c r="AGF828" s="16"/>
      <c r="AGG828" s="16"/>
      <c r="AGH828" s="16"/>
      <c r="AGI828" s="16"/>
      <c r="AGJ828" s="16"/>
    </row>
    <row r="829" spans="1:868" hidden="1">
      <c r="A829" s="289" t="s">
        <v>239</v>
      </c>
      <c r="B829" s="55" t="s">
        <v>362</v>
      </c>
      <c r="C829" s="262" t="s">
        <v>139</v>
      </c>
      <c r="D829" s="55" t="s">
        <v>139</v>
      </c>
      <c r="E829" s="257">
        <v>0.16500000000000001</v>
      </c>
      <c r="F829" s="232">
        <v>2</v>
      </c>
      <c r="G829" s="262" t="s">
        <v>423</v>
      </c>
      <c r="H829" s="29">
        <v>2</v>
      </c>
      <c r="I829" s="9">
        <v>2</v>
      </c>
      <c r="J829" s="9">
        <v>2</v>
      </c>
      <c r="K829" s="9">
        <v>1</v>
      </c>
      <c r="L829" s="9">
        <v>1</v>
      </c>
      <c r="M829" s="9">
        <v>2</v>
      </c>
      <c r="N829" s="185">
        <f t="shared" ref="N829:N842" si="57">IF( OR( ISBLANK(H829),ISBLANK(J829), ISBLANK(K829), ISBLANK(L829), ISBLANK(M829) ), "", 1.5*SQRT(   EXP(2.21*(H829-1)) + EXP(2.21*(J829-1)) + EXP(2.21*(K829-1)) + EXP(2.21*(L829-1)) + EXP(2.21*M829)   )/100*2.45 )</f>
        <v>0.37356464144298934</v>
      </c>
      <c r="O829" s="159">
        <f t="shared" ref="O829:O842" si="58">IF( OR( ISBLANK(I829),ISBLANK(J829), ISBLANK(K829), ISBLANK(L829), ISBLANK(M829) ), "", 1.5*SQRT( EXP(2.21*(I829-1)) + EXP(2.21*(J829-1)) + EXP(2.21*(K829-1)) + EXP(2.21*(L829-1)) + EXP(2.21*M829)   )/100*2.45 )</f>
        <v>0.37356464144298934</v>
      </c>
      <c r="P829" s="63"/>
    </row>
    <row r="830" spans="1:868" s="210" customFormat="1" ht="15" hidden="1" thickBot="1">
      <c r="A830" s="289" t="s">
        <v>239</v>
      </c>
      <c r="B830" s="55" t="s">
        <v>362</v>
      </c>
      <c r="C830" s="262" t="s">
        <v>139</v>
      </c>
      <c r="D830" s="55" t="s">
        <v>139</v>
      </c>
      <c r="E830" s="257">
        <v>0.52500000000000002</v>
      </c>
      <c r="F830" s="232">
        <v>2</v>
      </c>
      <c r="G830" s="262" t="s">
        <v>423</v>
      </c>
      <c r="H830" s="29">
        <v>2</v>
      </c>
      <c r="I830" s="9">
        <v>2</v>
      </c>
      <c r="J830" s="9">
        <v>2</v>
      </c>
      <c r="K830" s="9">
        <v>1</v>
      </c>
      <c r="L830" s="9">
        <v>1</v>
      </c>
      <c r="M830" s="9">
        <v>2</v>
      </c>
      <c r="N830" s="185">
        <f t="shared" si="57"/>
        <v>0.37356464144298934</v>
      </c>
      <c r="O830" s="159">
        <f t="shared" si="58"/>
        <v>0.37356464144298934</v>
      </c>
      <c r="P830" s="63"/>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16"/>
      <c r="JV830" s="16"/>
      <c r="JW830" s="16"/>
      <c r="JX830" s="16"/>
      <c r="JY830" s="16"/>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6"/>
      <c r="LF830" s="16"/>
      <c r="LG830" s="16"/>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c r="MM830" s="16"/>
      <c r="MN830" s="16"/>
      <c r="MO830" s="16"/>
      <c r="MP830" s="16"/>
      <c r="MQ830" s="16"/>
      <c r="MR830" s="16"/>
      <c r="MS830" s="16"/>
      <c r="MT830" s="16"/>
      <c r="MU830" s="16"/>
      <c r="MV830" s="16"/>
      <c r="MW830" s="16"/>
      <c r="MX830" s="16"/>
      <c r="MY830" s="16"/>
      <c r="MZ830" s="16"/>
      <c r="NA830" s="16"/>
      <c r="NB830" s="16"/>
      <c r="NC830" s="16"/>
      <c r="ND830" s="16"/>
      <c r="NE830" s="16"/>
      <c r="NF830" s="16"/>
      <c r="NG830" s="16"/>
      <c r="NH830" s="16"/>
      <c r="NI830" s="16"/>
      <c r="NJ830" s="16"/>
      <c r="NK830" s="16"/>
      <c r="NL830" s="16"/>
      <c r="NM830" s="16"/>
      <c r="NN830" s="16"/>
      <c r="NO830" s="16"/>
      <c r="NP830" s="16"/>
      <c r="NQ830" s="16"/>
      <c r="NR830" s="16"/>
      <c r="NS830" s="16"/>
      <c r="NT830" s="16"/>
      <c r="NU830" s="16"/>
      <c r="NV830" s="16"/>
      <c r="NW830" s="16"/>
      <c r="NX830" s="16"/>
      <c r="NY830" s="16"/>
      <c r="NZ830" s="16"/>
      <c r="OA830" s="16"/>
      <c r="OB830" s="16"/>
      <c r="OC830" s="16"/>
      <c r="OD830" s="16"/>
      <c r="OE830" s="16"/>
      <c r="OF830" s="16"/>
      <c r="OG830" s="16"/>
      <c r="OH830" s="16"/>
      <c r="OI830" s="16"/>
      <c r="OJ830" s="16"/>
      <c r="OK830" s="16"/>
      <c r="OL830" s="16"/>
      <c r="OM830" s="16"/>
      <c r="ON830" s="16"/>
      <c r="OO830" s="16"/>
      <c r="OP830" s="16"/>
      <c r="OQ830" s="16"/>
      <c r="OR830" s="16"/>
      <c r="OS830" s="16"/>
      <c r="OT830" s="16"/>
      <c r="OU830" s="16"/>
      <c r="OV830" s="16"/>
      <c r="OW830" s="16"/>
      <c r="OX830" s="16"/>
      <c r="OY830" s="16"/>
      <c r="OZ830" s="16"/>
      <c r="PA830" s="16"/>
      <c r="PB830" s="16"/>
      <c r="PC830" s="16"/>
      <c r="PD830" s="16"/>
      <c r="PE830" s="16"/>
      <c r="PF830" s="16"/>
      <c r="PG830" s="16"/>
      <c r="PH830" s="16"/>
      <c r="PI830" s="16"/>
      <c r="PJ830" s="16"/>
      <c r="PK830" s="16"/>
      <c r="PL830" s="16"/>
      <c r="PM830" s="16"/>
      <c r="PN830" s="16"/>
      <c r="PO830" s="16"/>
      <c r="PP830" s="16"/>
      <c r="PQ830" s="16"/>
      <c r="PR830" s="16"/>
      <c r="PS830" s="16"/>
      <c r="PT830" s="16"/>
      <c r="PU830" s="16"/>
      <c r="PV830" s="16"/>
      <c r="PW830" s="16"/>
      <c r="PX830" s="16"/>
      <c r="PY830" s="16"/>
      <c r="PZ830" s="16"/>
      <c r="QA830" s="16"/>
      <c r="QB830" s="16"/>
      <c r="QC830" s="16"/>
      <c r="QD830" s="16"/>
      <c r="QE830" s="16"/>
      <c r="QF830" s="16"/>
      <c r="QG830" s="16"/>
      <c r="QH830" s="16"/>
      <c r="QI830" s="16"/>
      <c r="QJ830" s="16"/>
      <c r="QK830" s="16"/>
      <c r="QL830" s="16"/>
      <c r="QM830" s="16"/>
      <c r="QN830" s="16"/>
      <c r="QO830" s="16"/>
      <c r="QP830" s="16"/>
      <c r="QQ830" s="16"/>
      <c r="QR830" s="16"/>
      <c r="QS830" s="16"/>
      <c r="QT830" s="16"/>
      <c r="QU830" s="16"/>
      <c r="QV830" s="16"/>
      <c r="QW830" s="16"/>
      <c r="QX830" s="16"/>
      <c r="QY830" s="16"/>
      <c r="QZ830" s="16"/>
      <c r="RA830" s="16"/>
      <c r="RB830" s="16"/>
      <c r="RC830" s="16"/>
      <c r="RD830" s="16"/>
      <c r="RE830" s="16"/>
      <c r="RF830" s="16"/>
      <c r="RG830" s="16"/>
      <c r="RH830" s="16"/>
      <c r="RI830" s="16"/>
      <c r="RJ830" s="16"/>
      <c r="RK830" s="16"/>
      <c r="RL830" s="16"/>
      <c r="RM830" s="16"/>
      <c r="RN830" s="16"/>
      <c r="RO830" s="16"/>
      <c r="RP830" s="16"/>
      <c r="RQ830" s="16"/>
      <c r="RR830" s="16"/>
      <c r="RS830" s="16"/>
      <c r="RT830" s="16"/>
      <c r="RU830" s="16"/>
      <c r="RV830" s="16"/>
      <c r="RW830" s="16"/>
      <c r="RX830" s="16"/>
      <c r="RY830" s="16"/>
      <c r="RZ830" s="16"/>
      <c r="SA830" s="16"/>
      <c r="SB830" s="16"/>
      <c r="SC830" s="16"/>
      <c r="SD830" s="16"/>
      <c r="SE830" s="16"/>
      <c r="SF830" s="16"/>
      <c r="SG830" s="16"/>
      <c r="SH830" s="16"/>
      <c r="SI830" s="16"/>
      <c r="SJ830" s="16"/>
      <c r="SK830" s="16"/>
      <c r="SL830" s="16"/>
      <c r="SM830" s="16"/>
      <c r="SN830" s="16"/>
      <c r="SO830" s="16"/>
      <c r="SP830" s="16"/>
      <c r="SQ830" s="16"/>
      <c r="SR830" s="16"/>
      <c r="SS830" s="16"/>
      <c r="ST830" s="16"/>
      <c r="SU830" s="16"/>
      <c r="SV830" s="16"/>
      <c r="SW830" s="16"/>
      <c r="SX830" s="16"/>
      <c r="SY830" s="16"/>
      <c r="SZ830" s="16"/>
      <c r="TA830" s="16"/>
      <c r="TB830" s="16"/>
      <c r="TC830" s="16"/>
      <c r="TD830" s="16"/>
      <c r="TE830" s="16"/>
      <c r="TF830" s="16"/>
      <c r="TG830" s="16"/>
      <c r="TH830" s="16"/>
      <c r="TI830" s="16"/>
      <c r="TJ830" s="16"/>
      <c r="TK830" s="16"/>
      <c r="TL830" s="16"/>
      <c r="TM830" s="16"/>
      <c r="TN830" s="16"/>
      <c r="TO830" s="16"/>
      <c r="TP830" s="16"/>
      <c r="TQ830" s="16"/>
      <c r="TR830" s="16"/>
      <c r="TS830" s="16"/>
      <c r="TT830" s="16"/>
      <c r="TU830" s="16"/>
      <c r="TV830" s="16"/>
      <c r="TW830" s="16"/>
      <c r="TX830" s="16"/>
      <c r="TY830" s="16"/>
      <c r="TZ830" s="16"/>
      <c r="UA830" s="16"/>
      <c r="UB830" s="16"/>
      <c r="UC830" s="16"/>
      <c r="UD830" s="16"/>
      <c r="UE830" s="16"/>
      <c r="UF830" s="16"/>
      <c r="UG830" s="16"/>
      <c r="UH830" s="16"/>
      <c r="UI830" s="16"/>
      <c r="UJ830" s="16"/>
      <c r="UK830" s="16"/>
      <c r="UL830" s="16"/>
      <c r="UM830" s="16"/>
      <c r="UN830" s="16"/>
      <c r="UO830" s="16"/>
      <c r="UP830" s="16"/>
      <c r="UQ830" s="16"/>
      <c r="UR830" s="16"/>
      <c r="US830" s="16"/>
      <c r="UT830" s="16"/>
      <c r="UU830" s="16"/>
      <c r="UV830" s="16"/>
      <c r="UW830" s="16"/>
      <c r="UX830" s="16"/>
      <c r="UY830" s="16"/>
      <c r="UZ830" s="16"/>
      <c r="VA830" s="16"/>
      <c r="VB830" s="16"/>
      <c r="VC830" s="16"/>
      <c r="VD830" s="16"/>
      <c r="VE830" s="16"/>
      <c r="VF830" s="16"/>
      <c r="VG830" s="16"/>
      <c r="VH830" s="16"/>
      <c r="VI830" s="16"/>
      <c r="VJ830" s="16"/>
      <c r="VK830" s="16"/>
      <c r="VL830" s="16"/>
      <c r="VM830" s="16"/>
      <c r="VN830" s="16"/>
      <c r="VO830" s="16"/>
      <c r="VP830" s="16"/>
      <c r="VQ830" s="16"/>
      <c r="VR830" s="16"/>
      <c r="VS830" s="16"/>
      <c r="VT830" s="16"/>
      <c r="VU830" s="16"/>
      <c r="VV830" s="16"/>
      <c r="VW830" s="16"/>
      <c r="VX830" s="16"/>
      <c r="VY830" s="16"/>
      <c r="VZ830" s="16"/>
      <c r="WA830" s="16"/>
      <c r="WB830" s="16"/>
      <c r="WC830" s="16"/>
      <c r="WD830" s="16"/>
      <c r="WE830" s="16"/>
      <c r="WF830" s="16"/>
      <c r="WG830" s="16"/>
      <c r="WH830" s="16"/>
      <c r="WI830" s="16"/>
      <c r="WJ830" s="16"/>
      <c r="WK830" s="16"/>
      <c r="WL830" s="16"/>
      <c r="WM830" s="16"/>
      <c r="WN830" s="16"/>
      <c r="WO830" s="16"/>
      <c r="WP830" s="16"/>
      <c r="WQ830" s="16"/>
      <c r="WR830" s="16"/>
      <c r="WS830" s="16"/>
      <c r="WT830" s="16"/>
      <c r="WU830" s="16"/>
      <c r="WV830" s="16"/>
      <c r="WW830" s="16"/>
      <c r="WX830" s="16"/>
      <c r="WY830" s="16"/>
      <c r="WZ830" s="16"/>
      <c r="XA830" s="16"/>
      <c r="XB830" s="16"/>
      <c r="XC830" s="16"/>
      <c r="XD830" s="16"/>
      <c r="XE830" s="16"/>
      <c r="XF830" s="16"/>
      <c r="XG830" s="16"/>
      <c r="XH830" s="16"/>
      <c r="XI830" s="16"/>
      <c r="XJ830" s="16"/>
      <c r="XK830" s="16"/>
      <c r="XL830" s="16"/>
      <c r="XM830" s="16"/>
      <c r="XN830" s="16"/>
      <c r="XO830" s="16"/>
      <c r="XP830" s="16"/>
      <c r="XQ830" s="16"/>
      <c r="XR830" s="16"/>
      <c r="XS830" s="16"/>
      <c r="XT830" s="16"/>
      <c r="XU830" s="16"/>
      <c r="XV830" s="16"/>
      <c r="XW830" s="16"/>
      <c r="XX830" s="16"/>
      <c r="XY830" s="16"/>
      <c r="XZ830" s="16"/>
      <c r="YA830" s="16"/>
      <c r="YB830" s="16"/>
      <c r="YC830" s="16"/>
      <c r="YD830" s="16"/>
      <c r="YE830" s="16"/>
      <c r="YF830" s="16"/>
      <c r="YG830" s="16"/>
      <c r="YH830" s="16"/>
      <c r="YI830" s="16"/>
      <c r="YJ830" s="16"/>
      <c r="YK830" s="16"/>
      <c r="YL830" s="16"/>
      <c r="YM830" s="16"/>
      <c r="YN830" s="16"/>
      <c r="YO830" s="16"/>
      <c r="YP830" s="16"/>
      <c r="YQ830" s="16"/>
      <c r="YR830" s="16"/>
      <c r="YS830" s="16"/>
      <c r="YT830" s="16"/>
      <c r="YU830" s="16"/>
      <c r="YV830" s="16"/>
      <c r="YW830" s="16"/>
      <c r="YX830" s="16"/>
      <c r="YY830" s="16"/>
      <c r="YZ830" s="16"/>
      <c r="ZA830" s="16"/>
      <c r="ZB830" s="16"/>
      <c r="ZC830" s="16"/>
      <c r="ZD830" s="16"/>
      <c r="ZE830" s="16"/>
      <c r="ZF830" s="16"/>
      <c r="ZG830" s="16"/>
      <c r="ZH830" s="16"/>
      <c r="ZI830" s="16"/>
      <c r="ZJ830" s="16"/>
      <c r="ZK830" s="16"/>
      <c r="ZL830" s="16"/>
      <c r="ZM830" s="16"/>
      <c r="ZN830" s="16"/>
      <c r="ZO830" s="16"/>
      <c r="ZP830" s="16"/>
      <c r="ZQ830" s="16"/>
      <c r="ZR830" s="16"/>
      <c r="ZS830" s="16"/>
      <c r="ZT830" s="16"/>
      <c r="ZU830" s="16"/>
      <c r="ZV830" s="16"/>
      <c r="ZW830" s="16"/>
      <c r="ZX830" s="16"/>
      <c r="ZY830" s="16"/>
      <c r="ZZ830" s="16"/>
      <c r="AAA830" s="16"/>
      <c r="AAB830" s="16"/>
      <c r="AAC830" s="16"/>
      <c r="AAD830" s="16"/>
      <c r="AAE830" s="16"/>
      <c r="AAF830" s="16"/>
      <c r="AAG830" s="16"/>
      <c r="AAH830" s="16"/>
      <c r="AAI830" s="16"/>
      <c r="AAJ830" s="16"/>
      <c r="AAK830" s="16"/>
      <c r="AAL830" s="16"/>
      <c r="AAM830" s="16"/>
      <c r="AAN830" s="16"/>
      <c r="AAO830" s="16"/>
      <c r="AAP830" s="16"/>
      <c r="AAQ830" s="16"/>
      <c r="AAR830" s="16"/>
      <c r="AAS830" s="16"/>
      <c r="AAT830" s="16"/>
      <c r="AAU830" s="16"/>
      <c r="AAV830" s="16"/>
      <c r="AAW830" s="16"/>
      <c r="AAX830" s="16"/>
      <c r="AAY830" s="16"/>
      <c r="AAZ830" s="16"/>
      <c r="ABA830" s="16"/>
      <c r="ABB830" s="16"/>
      <c r="ABC830" s="16"/>
      <c r="ABD830" s="16"/>
      <c r="ABE830" s="16"/>
      <c r="ABF830" s="16"/>
      <c r="ABG830" s="16"/>
      <c r="ABH830" s="16"/>
      <c r="ABI830" s="16"/>
      <c r="ABJ830" s="16"/>
      <c r="ABK830" s="16"/>
      <c r="ABL830" s="16"/>
      <c r="ABM830" s="16"/>
      <c r="ABN830" s="16"/>
      <c r="ABO830" s="16"/>
      <c r="ABP830" s="16"/>
      <c r="ABQ830" s="16"/>
      <c r="ABR830" s="16"/>
      <c r="ABS830" s="16"/>
      <c r="ABT830" s="16"/>
      <c r="ABU830" s="16"/>
      <c r="ABV830" s="16"/>
      <c r="ABW830" s="16"/>
      <c r="ABX830" s="16"/>
      <c r="ABY830" s="16"/>
      <c r="ABZ830" s="16"/>
      <c r="ACA830" s="16"/>
      <c r="ACB830" s="16"/>
      <c r="ACC830" s="16"/>
      <c r="ACD830" s="16"/>
      <c r="ACE830" s="16"/>
      <c r="ACF830" s="16"/>
      <c r="ACG830" s="16"/>
      <c r="ACH830" s="16"/>
      <c r="ACI830" s="16"/>
      <c r="ACJ830" s="16"/>
      <c r="ACK830" s="16"/>
      <c r="ACL830" s="16"/>
      <c r="ACM830" s="16"/>
      <c r="ACN830" s="16"/>
      <c r="ACO830" s="16"/>
      <c r="ACP830" s="16"/>
      <c r="ACQ830" s="16"/>
      <c r="ACR830" s="16"/>
      <c r="ACS830" s="16"/>
      <c r="ACT830" s="16"/>
      <c r="ACU830" s="16"/>
      <c r="ACV830" s="16"/>
      <c r="ACW830" s="16"/>
      <c r="ACX830" s="16"/>
      <c r="ACY830" s="16"/>
      <c r="ACZ830" s="16"/>
      <c r="ADA830" s="16"/>
      <c r="ADB830" s="16"/>
      <c r="ADC830" s="16"/>
      <c r="ADD830" s="16"/>
      <c r="ADE830" s="16"/>
      <c r="ADF830" s="16"/>
      <c r="ADG830" s="16"/>
      <c r="ADH830" s="16"/>
      <c r="ADI830" s="16"/>
      <c r="ADJ830" s="16"/>
      <c r="ADK830" s="16"/>
      <c r="ADL830" s="16"/>
      <c r="ADM830" s="16"/>
      <c r="ADN830" s="16"/>
      <c r="ADO830" s="16"/>
      <c r="ADP830" s="16"/>
      <c r="ADQ830" s="16"/>
      <c r="ADR830" s="16"/>
      <c r="ADS830" s="16"/>
      <c r="ADT830" s="16"/>
      <c r="ADU830" s="16"/>
      <c r="ADV830" s="16"/>
      <c r="ADW830" s="16"/>
      <c r="ADX830" s="16"/>
      <c r="ADY830" s="16"/>
      <c r="ADZ830" s="16"/>
      <c r="AEA830" s="16"/>
      <c r="AEB830" s="16"/>
      <c r="AEC830" s="16"/>
      <c r="AED830" s="16"/>
      <c r="AEE830" s="16"/>
      <c r="AEF830" s="16"/>
      <c r="AEG830" s="16"/>
      <c r="AEH830" s="16"/>
      <c r="AEI830" s="16"/>
      <c r="AEJ830" s="16"/>
      <c r="AEK830" s="16"/>
      <c r="AEL830" s="16"/>
      <c r="AEM830" s="16"/>
      <c r="AEN830" s="16"/>
      <c r="AEO830" s="16"/>
      <c r="AEP830" s="16"/>
      <c r="AEQ830" s="16"/>
      <c r="AER830" s="16"/>
      <c r="AES830" s="16"/>
      <c r="AET830" s="16"/>
      <c r="AEU830" s="16"/>
      <c r="AEV830" s="16"/>
      <c r="AEW830" s="16"/>
      <c r="AEX830" s="16"/>
      <c r="AEY830" s="16"/>
      <c r="AEZ830" s="16"/>
      <c r="AFA830" s="16"/>
      <c r="AFB830" s="16"/>
      <c r="AFC830" s="16"/>
      <c r="AFD830" s="16"/>
      <c r="AFE830" s="16"/>
      <c r="AFF830" s="16"/>
      <c r="AFG830" s="16"/>
      <c r="AFH830" s="16"/>
      <c r="AFI830" s="16"/>
      <c r="AFJ830" s="16"/>
      <c r="AFK830" s="16"/>
      <c r="AFL830" s="16"/>
      <c r="AFM830" s="16"/>
      <c r="AFN830" s="16"/>
      <c r="AFO830" s="16"/>
      <c r="AFP830" s="16"/>
      <c r="AFQ830" s="16"/>
      <c r="AFR830" s="16"/>
      <c r="AFS830" s="16"/>
      <c r="AFT830" s="16"/>
      <c r="AFU830" s="16"/>
      <c r="AFV830" s="16"/>
      <c r="AFW830" s="16"/>
      <c r="AFX830" s="16"/>
      <c r="AFY830" s="16"/>
      <c r="AFZ830" s="16"/>
      <c r="AGA830" s="16"/>
      <c r="AGB830" s="16"/>
      <c r="AGC830" s="16"/>
      <c r="AGD830" s="16"/>
      <c r="AGE830" s="16"/>
      <c r="AGF830" s="16"/>
      <c r="AGG830" s="16"/>
      <c r="AGH830" s="16"/>
      <c r="AGI830" s="16"/>
      <c r="AGJ830" s="16"/>
    </row>
    <row r="831" spans="1:868" hidden="1">
      <c r="A831" s="289" t="s">
        <v>240</v>
      </c>
      <c r="B831" s="55" t="s">
        <v>362</v>
      </c>
      <c r="C831" s="262" t="s">
        <v>139</v>
      </c>
      <c r="D831" s="55" t="s">
        <v>139</v>
      </c>
      <c r="E831" s="257">
        <v>6.5000000000000002E-2</v>
      </c>
      <c r="F831" s="232">
        <v>2</v>
      </c>
      <c r="G831" s="262" t="s">
        <v>423</v>
      </c>
      <c r="H831" s="29">
        <v>2</v>
      </c>
      <c r="I831" s="9">
        <v>2</v>
      </c>
      <c r="J831" s="9">
        <v>2</v>
      </c>
      <c r="K831" s="9">
        <v>1</v>
      </c>
      <c r="L831" s="9">
        <v>1</v>
      </c>
      <c r="M831" s="9">
        <v>2</v>
      </c>
      <c r="N831" s="185">
        <f t="shared" si="57"/>
        <v>0.37356464144298934</v>
      </c>
      <c r="O831" s="159">
        <f t="shared" si="58"/>
        <v>0.37356464144298934</v>
      </c>
      <c r="P831" s="63"/>
    </row>
    <row r="832" spans="1:868" hidden="1">
      <c r="A832" s="289" t="s">
        <v>241</v>
      </c>
      <c r="B832" s="55" t="s">
        <v>362</v>
      </c>
      <c r="C832" s="262" t="s">
        <v>139</v>
      </c>
      <c r="D832" s="55" t="s">
        <v>139</v>
      </c>
      <c r="E832" s="257">
        <v>0.91400000000000003</v>
      </c>
      <c r="F832" s="232">
        <v>2</v>
      </c>
      <c r="G832" s="262" t="s">
        <v>423</v>
      </c>
      <c r="H832" s="29">
        <v>2</v>
      </c>
      <c r="I832" s="9"/>
      <c r="J832" s="9">
        <v>2</v>
      </c>
      <c r="K832" s="9">
        <v>1</v>
      </c>
      <c r="L832" s="9">
        <v>1</v>
      </c>
      <c r="M832" s="9">
        <v>2</v>
      </c>
      <c r="N832" s="185">
        <f t="shared" si="57"/>
        <v>0.37356464144298934</v>
      </c>
      <c r="O832" s="159" t="str">
        <f t="shared" si="58"/>
        <v/>
      </c>
      <c r="P832" s="63"/>
    </row>
    <row r="833" spans="1:16" hidden="1">
      <c r="A833" s="289" t="s">
        <v>336</v>
      </c>
      <c r="B833" s="55" t="s">
        <v>362</v>
      </c>
      <c r="C833" s="262" t="s">
        <v>139</v>
      </c>
      <c r="D833" s="55" t="s">
        <v>139</v>
      </c>
      <c r="E833" s="257">
        <v>6.5000000000000002E-2</v>
      </c>
      <c r="F833" s="232">
        <v>1</v>
      </c>
      <c r="G833" s="262" t="s">
        <v>423</v>
      </c>
      <c r="H833" s="29">
        <v>2</v>
      </c>
      <c r="I833" s="9">
        <v>2</v>
      </c>
      <c r="J833" s="9">
        <v>2</v>
      </c>
      <c r="K833" s="9">
        <v>2</v>
      </c>
      <c r="L833" s="9">
        <v>2</v>
      </c>
      <c r="M833" s="9">
        <v>2</v>
      </c>
      <c r="N833" s="185">
        <f t="shared" si="57"/>
        <v>0.40183591897512122</v>
      </c>
      <c r="O833" s="159">
        <f t="shared" si="58"/>
        <v>0.40183591897512122</v>
      </c>
      <c r="P833" s="63"/>
    </row>
    <row r="834" spans="1:16" hidden="1">
      <c r="A834" s="289" t="s">
        <v>336</v>
      </c>
      <c r="B834" s="55" t="s">
        <v>362</v>
      </c>
      <c r="C834" s="262" t="s">
        <v>139</v>
      </c>
      <c r="D834" s="55" t="s">
        <v>139</v>
      </c>
      <c r="E834" s="257">
        <v>0.46</v>
      </c>
      <c r="F834" s="232">
        <v>1</v>
      </c>
      <c r="G834" s="262" t="s">
        <v>424</v>
      </c>
      <c r="H834" s="29">
        <v>2</v>
      </c>
      <c r="I834" s="9">
        <v>2</v>
      </c>
      <c r="J834" s="9">
        <v>2</v>
      </c>
      <c r="K834" s="9">
        <v>2</v>
      </c>
      <c r="L834" s="9">
        <v>2</v>
      </c>
      <c r="M834" s="9">
        <v>2</v>
      </c>
      <c r="N834" s="185">
        <f t="shared" si="57"/>
        <v>0.40183591897512122</v>
      </c>
      <c r="O834" s="159">
        <f t="shared" si="58"/>
        <v>0.40183591897512122</v>
      </c>
      <c r="P834" s="63"/>
    </row>
    <row r="835" spans="1:16" hidden="1">
      <c r="A835" s="151" t="s">
        <v>227</v>
      </c>
      <c r="B835" s="34" t="s">
        <v>232</v>
      </c>
      <c r="C835" s="40" t="s">
        <v>139</v>
      </c>
      <c r="D835" s="34" t="s">
        <v>139</v>
      </c>
      <c r="E835" s="257" t="s">
        <v>150</v>
      </c>
      <c r="F835" s="232">
        <v>1</v>
      </c>
      <c r="G835" s="40"/>
      <c r="H835" s="29"/>
      <c r="I835" s="9"/>
      <c r="J835" s="9"/>
      <c r="K835" s="9"/>
      <c r="L835" s="9"/>
      <c r="M835" s="9"/>
      <c r="N835" s="185" t="str">
        <f t="shared" si="57"/>
        <v/>
      </c>
      <c r="O835" s="159" t="str">
        <f t="shared" si="58"/>
        <v/>
      </c>
      <c r="P835" s="63"/>
    </row>
    <row r="836" spans="1:16" hidden="1">
      <c r="A836" s="151" t="s">
        <v>303</v>
      </c>
      <c r="B836" s="34" t="s">
        <v>232</v>
      </c>
      <c r="C836" s="40" t="s">
        <v>139</v>
      </c>
      <c r="D836" s="34" t="s">
        <v>139</v>
      </c>
      <c r="E836" s="257">
        <v>0.151</v>
      </c>
      <c r="F836" s="232">
        <v>2</v>
      </c>
      <c r="G836" s="40" t="s">
        <v>425</v>
      </c>
      <c r="H836" s="29">
        <v>3</v>
      </c>
      <c r="I836" s="9"/>
      <c r="J836" s="9">
        <v>2</v>
      </c>
      <c r="K836" s="9">
        <v>3</v>
      </c>
      <c r="L836" s="9">
        <v>3</v>
      </c>
      <c r="M836" s="9">
        <v>1</v>
      </c>
      <c r="N836" s="185">
        <f t="shared" si="57"/>
        <v>0.60108474454521421</v>
      </c>
      <c r="O836" s="159" t="str">
        <f t="shared" si="58"/>
        <v/>
      </c>
      <c r="P836" s="63" t="s">
        <v>426</v>
      </c>
    </row>
    <row r="837" spans="1:16" hidden="1">
      <c r="A837" s="151" t="s">
        <v>311</v>
      </c>
      <c r="B837" s="34" t="s">
        <v>232</v>
      </c>
      <c r="C837" s="515" t="s">
        <v>139</v>
      </c>
      <c r="D837" s="37" t="s">
        <v>139</v>
      </c>
      <c r="E837" s="308">
        <v>0.08</v>
      </c>
      <c r="F837" s="37">
        <v>1</v>
      </c>
      <c r="G837" s="40" t="s">
        <v>352</v>
      </c>
      <c r="H837" s="29">
        <v>2</v>
      </c>
      <c r="I837" s="9">
        <v>2</v>
      </c>
      <c r="J837" s="9">
        <v>1</v>
      </c>
      <c r="K837" s="9">
        <v>1</v>
      </c>
      <c r="L837" s="9">
        <v>1</v>
      </c>
      <c r="M837" s="9">
        <v>1</v>
      </c>
      <c r="N837" s="185">
        <f t="shared" si="57"/>
        <v>0.16933510251023262</v>
      </c>
      <c r="O837" s="159">
        <f t="shared" si="58"/>
        <v>0.16933510251023262</v>
      </c>
      <c r="P837" s="63"/>
    </row>
    <row r="838" spans="1:16" hidden="1">
      <c r="A838" s="151" t="s">
        <v>268</v>
      </c>
      <c r="B838" s="34" t="s">
        <v>232</v>
      </c>
      <c r="C838" s="40" t="s">
        <v>139</v>
      </c>
      <c r="D838" s="34" t="s">
        <v>139</v>
      </c>
      <c r="E838" s="257" t="s">
        <v>150</v>
      </c>
      <c r="F838" s="232">
        <v>1</v>
      </c>
      <c r="G838" s="40"/>
      <c r="H838" s="29"/>
      <c r="I838" s="9"/>
      <c r="J838" s="9"/>
      <c r="K838" s="9"/>
      <c r="L838" s="9"/>
      <c r="M838" s="9"/>
      <c r="N838" s="185" t="str">
        <f t="shared" si="57"/>
        <v/>
      </c>
      <c r="O838" s="159" t="str">
        <f t="shared" si="58"/>
        <v/>
      </c>
      <c r="P838" s="63"/>
    </row>
    <row r="839" spans="1:16" hidden="1">
      <c r="A839" s="151" t="s">
        <v>313</v>
      </c>
      <c r="B839" s="34" t="s">
        <v>232</v>
      </c>
      <c r="C839" s="40" t="s">
        <v>139</v>
      </c>
      <c r="D839" s="34" t="s">
        <v>139</v>
      </c>
      <c r="E839" s="257" t="s">
        <v>150</v>
      </c>
      <c r="F839" s="232">
        <v>1</v>
      </c>
      <c r="G839" s="40"/>
      <c r="H839" s="29"/>
      <c r="I839" s="9"/>
      <c r="J839" s="9"/>
      <c r="K839" s="9"/>
      <c r="L839" s="9"/>
      <c r="M839" s="9"/>
      <c r="N839" s="185" t="str">
        <f t="shared" si="57"/>
        <v/>
      </c>
      <c r="O839" s="159" t="str">
        <f t="shared" si="58"/>
        <v/>
      </c>
      <c r="P839" s="63"/>
    </row>
    <row r="840" spans="1:16" hidden="1">
      <c r="A840" s="151" t="s">
        <v>337</v>
      </c>
      <c r="B840" s="34" t="s">
        <v>232</v>
      </c>
      <c r="C840" s="40" t="s">
        <v>139</v>
      </c>
      <c r="D840" s="34" t="s">
        <v>139</v>
      </c>
      <c r="E840" s="257" t="s">
        <v>150</v>
      </c>
      <c r="F840" s="232">
        <v>1</v>
      </c>
      <c r="G840" s="40"/>
      <c r="H840" s="29"/>
      <c r="I840" s="9"/>
      <c r="J840" s="9"/>
      <c r="K840" s="9"/>
      <c r="L840" s="9"/>
      <c r="M840" s="9"/>
      <c r="N840" s="185" t="str">
        <f t="shared" si="57"/>
        <v/>
      </c>
      <c r="O840" s="159" t="str">
        <f t="shared" si="58"/>
        <v/>
      </c>
      <c r="P840" s="63"/>
    </row>
    <row r="841" spans="1:16" hidden="1">
      <c r="A841" s="151" t="s">
        <v>397</v>
      </c>
      <c r="B841" s="34" t="s">
        <v>231</v>
      </c>
      <c r="C841" s="40" t="s">
        <v>139</v>
      </c>
      <c r="D841" s="34" t="s">
        <v>139</v>
      </c>
      <c r="E841" s="262">
        <v>0.1</v>
      </c>
      <c r="F841" s="232">
        <v>2</v>
      </c>
      <c r="G841" s="852" t="s">
        <v>277</v>
      </c>
      <c r="H841" s="29">
        <v>1</v>
      </c>
      <c r="I841" s="9">
        <v>2</v>
      </c>
      <c r="J841" s="9">
        <v>2</v>
      </c>
      <c r="K841" s="9">
        <v>1</v>
      </c>
      <c r="L841" s="9">
        <v>2</v>
      </c>
      <c r="M841" s="9">
        <v>3</v>
      </c>
      <c r="N841" s="185">
        <f t="shared" si="57"/>
        <v>1.0248662490928169</v>
      </c>
      <c r="O841" s="159">
        <f t="shared" si="58"/>
        <v>1.0301997916669636</v>
      </c>
      <c r="P841" s="838"/>
    </row>
    <row r="842" spans="1:16" hidden="1">
      <c r="A842" s="151" t="s">
        <v>397</v>
      </c>
      <c r="B842" s="34" t="s">
        <v>377</v>
      </c>
      <c r="C842" s="40" t="s">
        <v>139</v>
      </c>
      <c r="D842" s="34" t="s">
        <v>139</v>
      </c>
      <c r="E842" s="262">
        <v>0.4</v>
      </c>
      <c r="F842" s="232">
        <v>1</v>
      </c>
      <c r="G842" s="40" t="s">
        <v>378</v>
      </c>
      <c r="H842" s="29">
        <v>1</v>
      </c>
      <c r="I842" s="9">
        <v>3</v>
      </c>
      <c r="J842" s="9">
        <v>2</v>
      </c>
      <c r="K842" s="9">
        <v>1</v>
      </c>
      <c r="L842" s="9">
        <v>1</v>
      </c>
      <c r="M842" s="9">
        <v>2</v>
      </c>
      <c r="N842" s="185">
        <f t="shared" si="57"/>
        <v>0.35859414261160716</v>
      </c>
      <c r="O842" s="159">
        <f t="shared" si="58"/>
        <v>0.48935255543384243</v>
      </c>
      <c r="P842" s="838"/>
    </row>
    <row r="843" spans="1:16" hidden="1">
      <c r="A843" s="151" t="s">
        <v>353</v>
      </c>
      <c r="B843" s="34" t="s">
        <v>232</v>
      </c>
      <c r="C843" s="40" t="s">
        <v>139</v>
      </c>
      <c r="D843" s="34" t="s">
        <v>139</v>
      </c>
      <c r="E843" s="257" t="s">
        <v>150</v>
      </c>
      <c r="F843" s="232">
        <v>1</v>
      </c>
      <c r="G843" s="40"/>
      <c r="H843" s="29"/>
      <c r="I843" s="9"/>
      <c r="J843" s="9"/>
      <c r="K843" s="9"/>
      <c r="L843" s="9"/>
      <c r="M843" s="9"/>
      <c r="N843" s="185" t="str">
        <f t="shared" ref="N843:N848" si="59">IF( OR( ISBLANK(H843),ISBLANK(J843), ISBLANK(K843), ISBLANK(L843), ISBLANK(M843) ), "", 1.5*SQRT(   EXP(2.21*(H843-1)) + EXP(2.21*(J843-1)) + EXP(2.21*(K843-1)) + EXP(2.21*(L843-1)) + EXP(2.21*M843)   )/100*2.45 )</f>
        <v/>
      </c>
      <c r="O843" s="159" t="str">
        <f t="shared" ref="O843:O848" si="60">IF( OR( ISBLANK(I843),ISBLANK(J843), ISBLANK(K843), ISBLANK(L843), ISBLANK(M843) ), "", 1.5*SQRT( EXP(2.21*(I843-1)) + EXP(2.21*(J843-1)) + EXP(2.21*(K843-1)) + EXP(2.21*(L843-1)) + EXP(2.21*M843)   )/100*2.45 )</f>
        <v/>
      </c>
      <c r="P843" s="63"/>
    </row>
    <row r="844" spans="1:16" hidden="1">
      <c r="A844" s="151" t="s">
        <v>121</v>
      </c>
      <c r="B844" s="34" t="s">
        <v>354</v>
      </c>
      <c r="C844" s="40" t="s">
        <v>139</v>
      </c>
      <c r="D844" s="34" t="s">
        <v>99</v>
      </c>
      <c r="E844" s="257">
        <v>0.27563499529633112</v>
      </c>
      <c r="F844" s="232">
        <v>1</v>
      </c>
      <c r="G844" s="40"/>
      <c r="H844" s="29">
        <v>3</v>
      </c>
      <c r="I844" s="9">
        <v>3</v>
      </c>
      <c r="J844" s="9">
        <v>2</v>
      </c>
      <c r="K844" s="9">
        <v>2</v>
      </c>
      <c r="L844" s="9">
        <v>1</v>
      </c>
      <c r="M844" s="9">
        <v>2</v>
      </c>
      <c r="N844" s="185">
        <f t="shared" si="59"/>
        <v>0.50042652380814845</v>
      </c>
      <c r="O844" s="159">
        <f t="shared" si="60"/>
        <v>0.50042652380814845</v>
      </c>
      <c r="P844" s="63"/>
    </row>
    <row r="845" spans="1:16" hidden="1">
      <c r="A845" s="289" t="s">
        <v>234</v>
      </c>
      <c r="B845" s="55" t="s">
        <v>232</v>
      </c>
      <c r="C845" s="262" t="s">
        <v>139</v>
      </c>
      <c r="D845" s="55" t="s">
        <v>139</v>
      </c>
      <c r="E845" s="257">
        <v>1.7569999999999999E-2</v>
      </c>
      <c r="F845" s="232">
        <v>2</v>
      </c>
      <c r="G845" s="262" t="s">
        <v>168</v>
      </c>
      <c r="H845" s="29">
        <v>2</v>
      </c>
      <c r="I845" s="9">
        <v>2</v>
      </c>
      <c r="J845" s="9">
        <v>3</v>
      </c>
      <c r="K845" s="9">
        <v>1</v>
      </c>
      <c r="L845" s="9">
        <v>1</v>
      </c>
      <c r="M845" s="9">
        <v>1</v>
      </c>
      <c r="N845" s="185">
        <f t="shared" si="59"/>
        <v>0.37356464144298934</v>
      </c>
      <c r="O845" s="159">
        <f t="shared" si="60"/>
        <v>0.37356464144298934</v>
      </c>
      <c r="P845" s="63"/>
    </row>
    <row r="846" spans="1:16" hidden="1">
      <c r="A846" s="289" t="s">
        <v>359</v>
      </c>
      <c r="B846" s="55" t="s">
        <v>232</v>
      </c>
      <c r="C846" s="262" t="s">
        <v>139</v>
      </c>
      <c r="D846" s="55" t="s">
        <v>139</v>
      </c>
      <c r="E846" s="257" t="s">
        <v>150</v>
      </c>
      <c r="F846" s="232">
        <v>1</v>
      </c>
      <c r="G846" s="262" t="s">
        <v>163</v>
      </c>
      <c r="H846" s="29">
        <v>2</v>
      </c>
      <c r="I846" s="9">
        <v>2</v>
      </c>
      <c r="J846" s="9">
        <v>1</v>
      </c>
      <c r="K846" s="9">
        <v>1</v>
      </c>
      <c r="L846" s="9">
        <v>1</v>
      </c>
      <c r="M846" s="9">
        <v>3</v>
      </c>
      <c r="N846" s="185">
        <f t="shared" si="59"/>
        <v>1.0195048044558224</v>
      </c>
      <c r="O846" s="159">
        <f t="shared" si="60"/>
        <v>1.0195048044558224</v>
      </c>
      <c r="P846" s="63"/>
    </row>
    <row r="847" spans="1:16" hidden="1">
      <c r="A847" s="151" t="s">
        <v>256</v>
      </c>
      <c r="B847" s="34" t="s">
        <v>259</v>
      </c>
      <c r="C847" s="40" t="s">
        <v>139</v>
      </c>
      <c r="D847" s="34" t="s">
        <v>139</v>
      </c>
      <c r="E847" s="257" t="s">
        <v>150</v>
      </c>
      <c r="F847" s="34">
        <v>1</v>
      </c>
      <c r="G847" s="40"/>
      <c r="H847" s="29"/>
      <c r="I847" s="9"/>
      <c r="J847" s="9"/>
      <c r="K847" s="9"/>
      <c r="L847" s="9"/>
      <c r="M847" s="9"/>
      <c r="N847" s="185" t="str">
        <f t="shared" si="59"/>
        <v/>
      </c>
      <c r="O847" s="159" t="str">
        <f t="shared" si="60"/>
        <v/>
      </c>
      <c r="P847" s="63"/>
    </row>
    <row r="848" spans="1:16" hidden="1">
      <c r="A848" s="151" t="s">
        <v>362</v>
      </c>
      <c r="B848" s="34" t="s">
        <v>209</v>
      </c>
      <c r="C848" s="40" t="s">
        <v>139</v>
      </c>
      <c r="D848" s="34" t="s">
        <v>139</v>
      </c>
      <c r="E848" s="257" t="s">
        <v>150</v>
      </c>
      <c r="F848" s="232">
        <v>1</v>
      </c>
      <c r="G848" s="40"/>
      <c r="H848" s="29"/>
      <c r="I848" s="9"/>
      <c r="J848" s="9"/>
      <c r="K848" s="9"/>
      <c r="L848" s="9"/>
      <c r="M848" s="9"/>
      <c r="N848" s="185" t="str">
        <f t="shared" si="59"/>
        <v/>
      </c>
      <c r="O848" s="159" t="str">
        <f t="shared" si="60"/>
        <v/>
      </c>
      <c r="P848" s="63"/>
    </row>
    <row r="849" spans="1:16" hidden="1">
      <c r="A849" s="151" t="s">
        <v>121</v>
      </c>
      <c r="B849" s="34" t="s">
        <v>418</v>
      </c>
      <c r="C849" s="40" t="s">
        <v>139</v>
      </c>
      <c r="D849" s="34" t="s">
        <v>85</v>
      </c>
      <c r="E849" s="257">
        <v>0</v>
      </c>
      <c r="F849" s="232">
        <v>1</v>
      </c>
      <c r="G849" s="40"/>
      <c r="H849" s="29"/>
      <c r="I849" s="9"/>
      <c r="J849" s="9"/>
      <c r="K849" s="9"/>
      <c r="L849" s="9"/>
      <c r="M849" s="9"/>
      <c r="N849" s="185" t="str">
        <f t="shared" ref="N849:N857" si="61">IF( OR( ISBLANK(H849),ISBLANK(J849), ISBLANK(K849), ISBLANK(L849), ISBLANK(M849) ), "", 1.5*SQRT(   EXP(2.21*(H849-1)) + EXP(2.21*(J849-1)) + EXP(2.21*(K849-1)) + EXP(2.21*(L849-1)) + EXP(2.21*M849)   )/100*2.45 )</f>
        <v/>
      </c>
      <c r="O849" s="159" t="str">
        <f t="shared" ref="O849:O857" si="62">IF( OR( ISBLANK(I849),ISBLANK(J849), ISBLANK(K849), ISBLANK(L849), ISBLANK(M849) ), "", 1.5*SQRT( EXP(2.21*(I849-1)) + EXP(2.21*(J849-1)) + EXP(2.21*(K849-1)) + EXP(2.21*(L849-1)) + EXP(2.21*M849)   )/100*2.45 )</f>
        <v/>
      </c>
      <c r="P849" s="63"/>
    </row>
    <row r="850" spans="1:16" hidden="1">
      <c r="A850" s="151" t="s">
        <v>121</v>
      </c>
      <c r="B850" s="34" t="s">
        <v>418</v>
      </c>
      <c r="C850" s="40" t="s">
        <v>139</v>
      </c>
      <c r="D850" s="34" t="s">
        <v>86</v>
      </c>
      <c r="E850" s="257">
        <v>0</v>
      </c>
      <c r="F850" s="232">
        <v>1</v>
      </c>
      <c r="G850" s="40"/>
      <c r="H850" s="29"/>
      <c r="I850" s="9"/>
      <c r="J850" s="9"/>
      <c r="K850" s="9"/>
      <c r="L850" s="9"/>
      <c r="M850" s="9"/>
      <c r="N850" s="185" t="str">
        <f t="shared" si="61"/>
        <v/>
      </c>
      <c r="O850" s="159" t="str">
        <f t="shared" si="62"/>
        <v/>
      </c>
      <c r="P850" s="63"/>
    </row>
    <row r="851" spans="1:16" hidden="1">
      <c r="A851" s="151" t="s">
        <v>121</v>
      </c>
      <c r="B851" s="34" t="s">
        <v>418</v>
      </c>
      <c r="C851" s="40" t="s">
        <v>139</v>
      </c>
      <c r="D851" s="34" t="s">
        <v>87</v>
      </c>
      <c r="E851" s="257">
        <v>0</v>
      </c>
      <c r="F851" s="232">
        <v>1</v>
      </c>
      <c r="G851" s="40"/>
      <c r="H851" s="29"/>
      <c r="I851" s="9"/>
      <c r="J851" s="9"/>
      <c r="K851" s="9"/>
      <c r="L851" s="9"/>
      <c r="M851" s="9"/>
      <c r="N851" s="185" t="str">
        <f t="shared" si="61"/>
        <v/>
      </c>
      <c r="O851" s="159" t="str">
        <f t="shared" si="62"/>
        <v/>
      </c>
      <c r="P851" s="63"/>
    </row>
    <row r="852" spans="1:16" hidden="1">
      <c r="A852" s="151" t="s">
        <v>121</v>
      </c>
      <c r="B852" s="34" t="s">
        <v>418</v>
      </c>
      <c r="C852" s="40" t="s">
        <v>139</v>
      </c>
      <c r="D852" s="34" t="s">
        <v>88</v>
      </c>
      <c r="E852" s="257">
        <v>0</v>
      </c>
      <c r="F852" s="232">
        <v>1</v>
      </c>
      <c r="G852" s="40"/>
      <c r="H852" s="29"/>
      <c r="I852" s="9"/>
      <c r="J852" s="9"/>
      <c r="K852" s="9"/>
      <c r="L852" s="9"/>
      <c r="M852" s="9"/>
      <c r="N852" s="185" t="str">
        <f t="shared" si="61"/>
        <v/>
      </c>
      <c r="O852" s="159" t="str">
        <f t="shared" si="62"/>
        <v/>
      </c>
      <c r="P852" s="63"/>
    </row>
    <row r="853" spans="1:16" hidden="1">
      <c r="A853" s="151" t="s">
        <v>121</v>
      </c>
      <c r="B853" s="34" t="s">
        <v>418</v>
      </c>
      <c r="C853" s="40" t="s">
        <v>139</v>
      </c>
      <c r="D853" s="34" t="s">
        <v>89</v>
      </c>
      <c r="E853" s="257">
        <v>0</v>
      </c>
      <c r="F853" s="232">
        <v>1</v>
      </c>
      <c r="G853" s="40"/>
      <c r="H853" s="29"/>
      <c r="I853" s="9"/>
      <c r="J853" s="9"/>
      <c r="K853" s="9"/>
      <c r="L853" s="9"/>
      <c r="M853" s="9"/>
      <c r="N853" s="185" t="str">
        <f t="shared" si="61"/>
        <v/>
      </c>
      <c r="O853" s="159" t="str">
        <f t="shared" si="62"/>
        <v/>
      </c>
      <c r="P853" s="63"/>
    </row>
    <row r="854" spans="1:16" hidden="1">
      <c r="A854" s="151" t="s">
        <v>121</v>
      </c>
      <c r="B854" s="34" t="s">
        <v>418</v>
      </c>
      <c r="C854" s="40" t="s">
        <v>139</v>
      </c>
      <c r="D854" s="34" t="s">
        <v>90</v>
      </c>
      <c r="E854" s="257">
        <v>1</v>
      </c>
      <c r="F854" s="232">
        <v>1</v>
      </c>
      <c r="G854" s="40"/>
      <c r="H854" s="29">
        <v>2</v>
      </c>
      <c r="I854" s="9">
        <v>2</v>
      </c>
      <c r="J854" s="9">
        <v>2</v>
      </c>
      <c r="K854" s="9">
        <v>2</v>
      </c>
      <c r="L854" s="9">
        <v>1</v>
      </c>
      <c r="M854" s="9">
        <v>2</v>
      </c>
      <c r="N854" s="185">
        <f t="shared" si="61"/>
        <v>0.38795788889711302</v>
      </c>
      <c r="O854" s="159">
        <f t="shared" si="62"/>
        <v>0.38795788889711302</v>
      </c>
      <c r="P854" s="63"/>
    </row>
    <row r="855" spans="1:16" hidden="1">
      <c r="A855" s="151" t="s">
        <v>121</v>
      </c>
      <c r="B855" s="34" t="s">
        <v>418</v>
      </c>
      <c r="C855" s="40" t="s">
        <v>139</v>
      </c>
      <c r="D855" s="34" t="s">
        <v>91</v>
      </c>
      <c r="E855" s="257">
        <v>0</v>
      </c>
      <c r="F855" s="232">
        <v>1</v>
      </c>
      <c r="G855" s="40"/>
      <c r="H855" s="29"/>
      <c r="I855" s="9"/>
      <c r="J855" s="9"/>
      <c r="K855" s="9"/>
      <c r="L855" s="9"/>
      <c r="M855" s="9"/>
      <c r="N855" s="185" t="str">
        <f t="shared" si="61"/>
        <v/>
      </c>
      <c r="O855" s="159" t="str">
        <f t="shared" si="62"/>
        <v/>
      </c>
      <c r="P855" s="63"/>
    </row>
    <row r="856" spans="1:16" hidden="1">
      <c r="A856" s="151" t="s">
        <v>121</v>
      </c>
      <c r="B856" s="34" t="s">
        <v>418</v>
      </c>
      <c r="C856" s="40" t="s">
        <v>139</v>
      </c>
      <c r="D856" s="34" t="s">
        <v>95</v>
      </c>
      <c r="E856" s="257">
        <v>0</v>
      </c>
      <c r="F856" s="232">
        <v>1</v>
      </c>
      <c r="G856" s="40"/>
      <c r="H856" s="29"/>
      <c r="I856" s="9"/>
      <c r="J856" s="9"/>
      <c r="K856" s="9"/>
      <c r="L856" s="9"/>
      <c r="M856" s="9"/>
      <c r="N856" s="185" t="str">
        <f t="shared" si="61"/>
        <v/>
      </c>
      <c r="O856" s="159" t="str">
        <f t="shared" si="62"/>
        <v/>
      </c>
      <c r="P856" s="63"/>
    </row>
    <row r="857" spans="1:16" hidden="1">
      <c r="A857" s="151" t="s">
        <v>121</v>
      </c>
      <c r="B857" s="34" t="s">
        <v>418</v>
      </c>
      <c r="C857" s="40" t="s">
        <v>139</v>
      </c>
      <c r="D857" s="34" t="s">
        <v>99</v>
      </c>
      <c r="E857" s="257">
        <v>0</v>
      </c>
      <c r="F857" s="232">
        <v>1</v>
      </c>
      <c r="G857" s="40"/>
      <c r="H857" s="29"/>
      <c r="I857" s="9"/>
      <c r="J857" s="9"/>
      <c r="K857" s="9"/>
      <c r="L857" s="9"/>
      <c r="M857" s="9"/>
      <c r="N857" s="185" t="str">
        <f t="shared" si="61"/>
        <v/>
      </c>
      <c r="O857" s="159" t="str">
        <f t="shared" si="62"/>
        <v/>
      </c>
      <c r="P857" s="63"/>
    </row>
    <row r="858" spans="1:16" hidden="1">
      <c r="A858" s="289" t="s">
        <v>413</v>
      </c>
      <c r="B858" s="37" t="s">
        <v>248</v>
      </c>
      <c r="C858" s="262" t="s">
        <v>139</v>
      </c>
      <c r="D858" s="55" t="s">
        <v>139</v>
      </c>
      <c r="E858" s="257" t="s">
        <v>150</v>
      </c>
      <c r="F858" s="232">
        <v>2</v>
      </c>
      <c r="G858" s="262"/>
      <c r="H858" s="29"/>
      <c r="I858" s="9"/>
      <c r="J858" s="9"/>
      <c r="K858" s="9"/>
      <c r="L858" s="9"/>
      <c r="M858" s="9"/>
      <c r="N858" s="185" t="str">
        <f t="shared" ref="N858:N864" si="63">IF( OR( ISBLANK(H858),ISBLANK(J858), ISBLANK(K858), ISBLANK(L858), ISBLANK(M858) ), "", 1.5*SQRT(   EXP(2.21*(H858-1)) + EXP(2.21*(J858-1)) + EXP(2.21*(K858-1)) + EXP(2.21*(L858-1)) + EXP(2.21*M858)   )/100*2.45 )</f>
        <v/>
      </c>
      <c r="O858" s="159" t="str">
        <f>IF( OR( ISBLANK(I858),ISBLANK(J858), ISBLANK(K858), ISBLANK(L858), ISBLANK(M858) ), "", 1.5*SQRT( EXP(2.21*(I858-1)) + EXP(2.21*(J858-1)) + EXP(2.21*(K858-1)) + EXP(2.21*(L858-1)) + EXP(2.21*M858)   )/100*2.45 )</f>
        <v/>
      </c>
      <c r="P858" s="63"/>
    </row>
    <row r="859" spans="1:16" s="16" customFormat="1" hidden="1">
      <c r="A859" s="335" t="s">
        <v>413</v>
      </c>
      <c r="B859" s="34" t="s">
        <v>232</v>
      </c>
      <c r="C859" s="40" t="s">
        <v>139</v>
      </c>
      <c r="D859" s="34" t="s">
        <v>139</v>
      </c>
      <c r="E859" s="848">
        <f>0.004*0.0001/100</f>
        <v>4.0000000000000002E-9</v>
      </c>
      <c r="F859" s="69">
        <v>2</v>
      </c>
      <c r="G859" s="515" t="s">
        <v>1991</v>
      </c>
      <c r="H859" s="29">
        <v>2</v>
      </c>
      <c r="I859" s="9">
        <v>1</v>
      </c>
      <c r="J859" s="9">
        <v>2</v>
      </c>
      <c r="K859" s="9">
        <v>3</v>
      </c>
      <c r="L859" s="9">
        <v>3</v>
      </c>
      <c r="M859" s="9">
        <v>2</v>
      </c>
      <c r="N859" s="185">
        <f t="shared" si="63"/>
        <v>0.60108474454521421</v>
      </c>
      <c r="O859" s="834"/>
      <c r="P859" s="841"/>
    </row>
    <row r="860" spans="1:16" s="16" customFormat="1" hidden="1">
      <c r="A860" s="335" t="s">
        <v>413</v>
      </c>
      <c r="B860" s="34" t="s">
        <v>232</v>
      </c>
      <c r="C860" s="40" t="s">
        <v>139</v>
      </c>
      <c r="D860" s="34" t="s">
        <v>139</v>
      </c>
      <c r="E860" s="848">
        <f>0.004*0.04/100</f>
        <v>1.6000000000000001E-6</v>
      </c>
      <c r="F860" s="69">
        <v>2</v>
      </c>
      <c r="G860" s="515" t="s">
        <v>1991</v>
      </c>
      <c r="H860" s="29">
        <v>2</v>
      </c>
      <c r="I860" s="9">
        <v>1</v>
      </c>
      <c r="J860" s="9">
        <v>2</v>
      </c>
      <c r="K860" s="9">
        <v>3</v>
      </c>
      <c r="L860" s="9">
        <v>3</v>
      </c>
      <c r="M860" s="9">
        <v>2</v>
      </c>
      <c r="N860" s="185">
        <f t="shared" si="63"/>
        <v>0.60108474454521421</v>
      </c>
      <c r="O860" s="834"/>
      <c r="P860" s="841"/>
    </row>
    <row r="861" spans="1:16" s="16" customFormat="1" hidden="1">
      <c r="A861" s="335" t="s">
        <v>413</v>
      </c>
      <c r="B861" s="34" t="s">
        <v>251</v>
      </c>
      <c r="C861" s="40" t="s">
        <v>139</v>
      </c>
      <c r="D861" s="34" t="s">
        <v>139</v>
      </c>
      <c r="E861" s="848">
        <f>(1-0.008)*0.0001/100</f>
        <v>9.9199999999999999E-7</v>
      </c>
      <c r="F861" s="69">
        <v>2</v>
      </c>
      <c r="G861" s="515" t="s">
        <v>1991</v>
      </c>
      <c r="H861" s="29">
        <v>2</v>
      </c>
      <c r="I861" s="9">
        <v>1</v>
      </c>
      <c r="J861" s="9">
        <v>2</v>
      </c>
      <c r="K861" s="9">
        <v>3</v>
      </c>
      <c r="L861" s="9">
        <v>3</v>
      </c>
      <c r="M861" s="9">
        <v>2</v>
      </c>
      <c r="N861" s="185">
        <f t="shared" si="63"/>
        <v>0.60108474454521421</v>
      </c>
      <c r="O861" s="834"/>
      <c r="P861" s="841"/>
    </row>
    <row r="862" spans="1:16" s="16" customFormat="1" hidden="1">
      <c r="A862" s="335" t="s">
        <v>413</v>
      </c>
      <c r="B862" s="34" t="s">
        <v>251</v>
      </c>
      <c r="C862" s="40" t="s">
        <v>139</v>
      </c>
      <c r="D862" s="34" t="s">
        <v>139</v>
      </c>
      <c r="E862" s="848">
        <f>(1-0.008)*0.04/100</f>
        <v>3.968E-4</v>
      </c>
      <c r="F862" s="69">
        <v>2</v>
      </c>
      <c r="G862" s="515" t="s">
        <v>1991</v>
      </c>
      <c r="H862" s="29">
        <v>2</v>
      </c>
      <c r="I862" s="9">
        <v>1</v>
      </c>
      <c r="J862" s="9">
        <v>2</v>
      </c>
      <c r="K862" s="9">
        <v>3</v>
      </c>
      <c r="L862" s="9">
        <v>3</v>
      </c>
      <c r="M862" s="9">
        <v>2</v>
      </c>
      <c r="N862" s="185">
        <f t="shared" si="63"/>
        <v>0.60108474454521421</v>
      </c>
      <c r="O862" s="834"/>
      <c r="P862" s="841"/>
    </row>
    <row r="863" spans="1:16" s="16" customFormat="1" hidden="1">
      <c r="A863" s="335" t="s">
        <v>413</v>
      </c>
      <c r="B863" s="34" t="s">
        <v>231</v>
      </c>
      <c r="C863" s="40" t="s">
        <v>139</v>
      </c>
      <c r="D863" s="34" t="s">
        <v>139</v>
      </c>
      <c r="E863" s="848">
        <f>0.004*0.0001/100</f>
        <v>4.0000000000000002E-9</v>
      </c>
      <c r="F863" s="69">
        <v>2</v>
      </c>
      <c r="G863" s="515" t="s">
        <v>1991</v>
      </c>
      <c r="H863" s="29">
        <v>2</v>
      </c>
      <c r="I863" s="9">
        <v>1</v>
      </c>
      <c r="J863" s="9">
        <v>2</v>
      </c>
      <c r="K863" s="9">
        <v>3</v>
      </c>
      <c r="L863" s="9">
        <v>3</v>
      </c>
      <c r="M863" s="9">
        <v>2</v>
      </c>
      <c r="N863" s="185">
        <f t="shared" si="63"/>
        <v>0.60108474454521421</v>
      </c>
      <c r="O863" s="834"/>
      <c r="P863" s="841"/>
    </row>
    <row r="864" spans="1:16" s="16" customFormat="1" hidden="1">
      <c r="A864" s="335" t="s">
        <v>413</v>
      </c>
      <c r="B864" s="34" t="s">
        <v>231</v>
      </c>
      <c r="C864" s="40" t="s">
        <v>139</v>
      </c>
      <c r="D864" s="34" t="s">
        <v>139</v>
      </c>
      <c r="E864" s="848">
        <f>0.004*0.04/100</f>
        <v>1.6000000000000001E-6</v>
      </c>
      <c r="F864" s="69">
        <v>2</v>
      </c>
      <c r="G864" s="515" t="s">
        <v>1991</v>
      </c>
      <c r="H864" s="29">
        <v>2</v>
      </c>
      <c r="I864" s="9">
        <v>1</v>
      </c>
      <c r="J864" s="9">
        <v>2</v>
      </c>
      <c r="K864" s="9">
        <v>3</v>
      </c>
      <c r="L864" s="9">
        <v>3</v>
      </c>
      <c r="M864" s="9">
        <v>2</v>
      </c>
      <c r="N864" s="185">
        <f t="shared" si="63"/>
        <v>0.60108474454521421</v>
      </c>
      <c r="O864" s="834"/>
      <c r="P864" s="841"/>
    </row>
    <row r="865" spans="1:868" hidden="1">
      <c r="A865" s="151" t="s">
        <v>256</v>
      </c>
      <c r="B865" s="34" t="s">
        <v>262</v>
      </c>
      <c r="C865" s="40" t="s">
        <v>139</v>
      </c>
      <c r="D865" s="34" t="s">
        <v>139</v>
      </c>
      <c r="E865" s="858">
        <v>9.9999999999999995E-7</v>
      </c>
      <c r="F865" s="34">
        <v>2</v>
      </c>
      <c r="G865" s="515" t="s">
        <v>1991</v>
      </c>
      <c r="H865" s="29">
        <v>2</v>
      </c>
      <c r="I865" s="9">
        <v>2</v>
      </c>
      <c r="J865" s="9">
        <v>3</v>
      </c>
      <c r="K865" s="9">
        <v>3</v>
      </c>
      <c r="L865" s="9">
        <v>3</v>
      </c>
      <c r="M865" s="9">
        <v>2</v>
      </c>
      <c r="N865" s="185">
        <f t="shared" ref="N865:N877" si="64">IF( OR( ISBLANK(H865),ISBLANK(J865), ISBLANK(K865), ISBLANK(L865), ISBLANK(M865) ), "", 1.5*SQRT(   EXP(2.21*(H865-1)) + EXP(2.21*(J865-1)) + EXP(2.21*(K865-1)) + EXP(2.21*(L865-1)) + EXP(2.21*M865)   )/100*2.45 )</f>
        <v>0.67913051197703389</v>
      </c>
      <c r="O865" s="159">
        <f t="shared" ref="O865:O896" si="65">IF( OR( ISBLANK(I865),ISBLANK(J865), ISBLANK(K865), ISBLANK(L865), ISBLANK(M865) ), "", 1.5*SQRT( EXP(2.21*(I865-1)) + EXP(2.21*(J865-1)) + EXP(2.21*(K865-1)) + EXP(2.21*(L865-1)) + EXP(2.21*M865)   )/100*2.45 )</f>
        <v>0.67913051197703389</v>
      </c>
      <c r="P865" s="842" t="s">
        <v>1989</v>
      </c>
    </row>
    <row r="866" spans="1:868" hidden="1">
      <c r="A866" s="151" t="s">
        <v>256</v>
      </c>
      <c r="B866" s="34" t="s">
        <v>262</v>
      </c>
      <c r="C866" s="40" t="s">
        <v>139</v>
      </c>
      <c r="D866" s="34" t="s">
        <v>139</v>
      </c>
      <c r="E866" s="851">
        <f>0.05*(1-0.088)/100</f>
        <v>4.5600000000000003E-4</v>
      </c>
      <c r="F866" s="34">
        <v>2</v>
      </c>
      <c r="G866" s="515" t="s">
        <v>1991</v>
      </c>
      <c r="H866" s="29">
        <v>2</v>
      </c>
      <c r="I866" s="9">
        <v>2</v>
      </c>
      <c r="J866" s="9">
        <v>3</v>
      </c>
      <c r="K866" s="9">
        <v>3</v>
      </c>
      <c r="L866" s="9">
        <v>3</v>
      </c>
      <c r="M866" s="9">
        <v>2</v>
      </c>
      <c r="N866" s="185">
        <f t="shared" si="64"/>
        <v>0.67913051197703389</v>
      </c>
      <c r="O866" s="159">
        <f t="shared" si="65"/>
        <v>0.67913051197703389</v>
      </c>
      <c r="P866" s="842" t="s">
        <v>1989</v>
      </c>
    </row>
    <row r="867" spans="1:868" hidden="1">
      <c r="A867" s="335" t="s">
        <v>256</v>
      </c>
      <c r="B867" s="69" t="s">
        <v>427</v>
      </c>
      <c r="C867" s="848" t="s">
        <v>139</v>
      </c>
      <c r="D867" s="69" t="s">
        <v>139</v>
      </c>
      <c r="E867" s="858">
        <v>9.9999999999999995E-7</v>
      </c>
      <c r="F867" s="69">
        <v>2</v>
      </c>
      <c r="G867" s="515" t="s">
        <v>1995</v>
      </c>
      <c r="H867" s="835">
        <v>2</v>
      </c>
      <c r="I867" s="310">
        <v>2</v>
      </c>
      <c r="J867" s="310">
        <v>3</v>
      </c>
      <c r="K867" s="310">
        <v>3</v>
      </c>
      <c r="L867" s="310">
        <v>3</v>
      </c>
      <c r="M867" s="310">
        <v>3</v>
      </c>
      <c r="N867" s="185">
        <f t="shared" si="64"/>
        <v>1.1713319510247036</v>
      </c>
      <c r="O867" s="159">
        <f t="shared" si="65"/>
        <v>1.1713319510247036</v>
      </c>
      <c r="P867" s="841"/>
    </row>
    <row r="868" spans="1:868" hidden="1">
      <c r="A868" s="335" t="s">
        <v>256</v>
      </c>
      <c r="B868" s="69" t="s">
        <v>427</v>
      </c>
      <c r="C868" s="848" t="s">
        <v>139</v>
      </c>
      <c r="D868" s="69" t="s">
        <v>139</v>
      </c>
      <c r="E868" s="851">
        <f>0.05*0.088/100</f>
        <v>4.4000000000000006E-5</v>
      </c>
      <c r="F868" s="69">
        <v>2</v>
      </c>
      <c r="G868" s="515" t="s">
        <v>1995</v>
      </c>
      <c r="H868" s="835">
        <v>2</v>
      </c>
      <c r="I868" s="310">
        <v>2</v>
      </c>
      <c r="J868" s="310">
        <v>3</v>
      </c>
      <c r="K868" s="310">
        <v>3</v>
      </c>
      <c r="L868" s="310">
        <v>3</v>
      </c>
      <c r="M868" s="310">
        <v>2</v>
      </c>
      <c r="N868" s="185">
        <f t="shared" si="64"/>
        <v>0.67913051197703389</v>
      </c>
      <c r="O868" s="159">
        <f t="shared" si="65"/>
        <v>0.67913051197703389</v>
      </c>
      <c r="P868" s="841"/>
    </row>
    <row r="869" spans="1:868" hidden="1">
      <c r="A869" s="151" t="s">
        <v>262</v>
      </c>
      <c r="B869" s="34" t="s">
        <v>258</v>
      </c>
      <c r="C869" s="40" t="s">
        <v>139</v>
      </c>
      <c r="D869" s="34" t="s">
        <v>139</v>
      </c>
      <c r="E869" s="257">
        <v>0.25</v>
      </c>
      <c r="F869" s="34">
        <v>2</v>
      </c>
      <c r="G869" s="515" t="s">
        <v>1992</v>
      </c>
      <c r="H869" s="29">
        <v>2</v>
      </c>
      <c r="I869" s="9">
        <v>2</v>
      </c>
      <c r="J869" s="9">
        <v>3</v>
      </c>
      <c r="K869" s="9">
        <v>3</v>
      </c>
      <c r="L869" s="9">
        <v>3</v>
      </c>
      <c r="M869" s="9">
        <v>2</v>
      </c>
      <c r="N869" s="185">
        <f t="shared" si="64"/>
        <v>0.67913051197703389</v>
      </c>
      <c r="O869" s="159">
        <f t="shared" si="65"/>
        <v>0.67913051197703389</v>
      </c>
      <c r="P869" s="63" t="s">
        <v>1990</v>
      </c>
    </row>
    <row r="870" spans="1:868" hidden="1">
      <c r="A870" s="151" t="s">
        <v>262</v>
      </c>
      <c r="B870" s="34" t="s">
        <v>251</v>
      </c>
      <c r="C870" s="40" t="s">
        <v>139</v>
      </c>
      <c r="D870" s="34" t="s">
        <v>139</v>
      </c>
      <c r="E870" s="257">
        <v>0.75</v>
      </c>
      <c r="F870" s="34">
        <v>2</v>
      </c>
      <c r="G870" s="515" t="s">
        <v>1992</v>
      </c>
      <c r="H870" s="29">
        <v>2</v>
      </c>
      <c r="I870" s="9">
        <v>2</v>
      </c>
      <c r="J870" s="9">
        <v>3</v>
      </c>
      <c r="K870" s="9">
        <v>3</v>
      </c>
      <c r="L870" s="9">
        <v>3</v>
      </c>
      <c r="M870" s="9">
        <v>2</v>
      </c>
      <c r="N870" s="185">
        <f t="shared" si="64"/>
        <v>0.67913051197703389</v>
      </c>
      <c r="O870" s="159">
        <f t="shared" si="65"/>
        <v>0.67913051197703389</v>
      </c>
      <c r="P870" s="63" t="s">
        <v>1990</v>
      </c>
    </row>
    <row r="871" spans="1:868" hidden="1">
      <c r="A871" s="151" t="s">
        <v>259</v>
      </c>
      <c r="B871" s="34" t="s">
        <v>261</v>
      </c>
      <c r="C871" s="40" t="s">
        <v>139</v>
      </c>
      <c r="D871" s="34" t="s">
        <v>139</v>
      </c>
      <c r="E871" s="851">
        <v>9.9999999999999995E-7</v>
      </c>
      <c r="F871" s="34">
        <v>2</v>
      </c>
      <c r="G871" s="515" t="s">
        <v>1991</v>
      </c>
      <c r="H871" s="29">
        <v>2</v>
      </c>
      <c r="I871" s="9">
        <v>2</v>
      </c>
      <c r="J871" s="9">
        <v>3</v>
      </c>
      <c r="K871" s="9">
        <v>3</v>
      </c>
      <c r="L871" s="9">
        <v>3</v>
      </c>
      <c r="M871" s="9">
        <v>2</v>
      </c>
      <c r="N871" s="185">
        <f t="shared" si="64"/>
        <v>0.67913051197703389</v>
      </c>
      <c r="O871" s="159">
        <f t="shared" si="65"/>
        <v>0.67913051197703389</v>
      </c>
      <c r="P871" s="842" t="s">
        <v>1989</v>
      </c>
    </row>
    <row r="872" spans="1:868" hidden="1">
      <c r="A872" s="151" t="s">
        <v>259</v>
      </c>
      <c r="B872" s="34" t="s">
        <v>261</v>
      </c>
      <c r="C872" s="40" t="s">
        <v>139</v>
      </c>
      <c r="D872" s="34" t="s">
        <v>139</v>
      </c>
      <c r="E872" s="851">
        <v>4.0000000000000002E-4</v>
      </c>
      <c r="F872" s="34">
        <v>2</v>
      </c>
      <c r="G872" s="515" t="s">
        <v>1991</v>
      </c>
      <c r="H872" s="29">
        <v>2</v>
      </c>
      <c r="I872" s="9">
        <v>2</v>
      </c>
      <c r="J872" s="9">
        <v>3</v>
      </c>
      <c r="K872" s="9">
        <v>3</v>
      </c>
      <c r="L872" s="9">
        <v>3</v>
      </c>
      <c r="M872" s="9">
        <v>2</v>
      </c>
      <c r="N872" s="185">
        <f t="shared" si="64"/>
        <v>0.67913051197703389</v>
      </c>
      <c r="O872" s="159">
        <f t="shared" si="65"/>
        <v>0.67913051197703389</v>
      </c>
      <c r="P872" s="842" t="s">
        <v>1989</v>
      </c>
    </row>
    <row r="873" spans="1:868" hidden="1">
      <c r="A873" s="151" t="s">
        <v>109</v>
      </c>
      <c r="B873" s="34" t="s">
        <v>261</v>
      </c>
      <c r="C873" s="40" t="s">
        <v>139</v>
      </c>
      <c r="D873" s="34" t="s">
        <v>139</v>
      </c>
      <c r="E873" s="851">
        <v>9.9999999999999995E-7</v>
      </c>
      <c r="F873" s="34">
        <v>2</v>
      </c>
      <c r="G873" s="515" t="s">
        <v>1991</v>
      </c>
      <c r="H873" s="29">
        <v>2</v>
      </c>
      <c r="I873" s="9">
        <v>2</v>
      </c>
      <c r="J873" s="9">
        <v>3</v>
      </c>
      <c r="K873" s="9">
        <v>3</v>
      </c>
      <c r="L873" s="9">
        <v>3</v>
      </c>
      <c r="M873" s="9">
        <v>2</v>
      </c>
      <c r="N873" s="185">
        <f t="shared" si="64"/>
        <v>0.67913051197703389</v>
      </c>
      <c r="O873" s="159">
        <f t="shared" si="65"/>
        <v>0.67913051197703389</v>
      </c>
      <c r="P873" s="63" t="s">
        <v>521</v>
      </c>
    </row>
    <row r="874" spans="1:868" hidden="1">
      <c r="A874" s="151" t="s">
        <v>109</v>
      </c>
      <c r="B874" s="34" t="s">
        <v>261</v>
      </c>
      <c r="C874" s="40" t="s">
        <v>139</v>
      </c>
      <c r="D874" s="34" t="s">
        <v>139</v>
      </c>
      <c r="E874" s="851">
        <v>4.0000000000000002E-4</v>
      </c>
      <c r="F874" s="34">
        <v>2</v>
      </c>
      <c r="G874" s="515" t="s">
        <v>1991</v>
      </c>
      <c r="H874" s="29">
        <v>2</v>
      </c>
      <c r="I874" s="9">
        <v>2</v>
      </c>
      <c r="J874" s="9">
        <v>3</v>
      </c>
      <c r="K874" s="9">
        <v>3</v>
      </c>
      <c r="L874" s="9">
        <v>3</v>
      </c>
      <c r="M874" s="9">
        <v>2</v>
      </c>
      <c r="N874" s="185">
        <f t="shared" si="64"/>
        <v>0.67913051197703389</v>
      </c>
      <c r="O874" s="159">
        <f t="shared" si="65"/>
        <v>0.67913051197703389</v>
      </c>
      <c r="P874" s="63" t="s">
        <v>521</v>
      </c>
    </row>
    <row r="875" spans="1:868" hidden="1">
      <c r="A875" s="151" t="s">
        <v>261</v>
      </c>
      <c r="B875" s="34" t="s">
        <v>254</v>
      </c>
      <c r="C875" s="40" t="s">
        <v>139</v>
      </c>
      <c r="D875" s="34" t="s">
        <v>139</v>
      </c>
      <c r="E875" s="851">
        <v>4.0000000000000001E-3</v>
      </c>
      <c r="F875" s="34">
        <v>2</v>
      </c>
      <c r="G875" s="515" t="s">
        <v>1992</v>
      </c>
      <c r="H875" s="29">
        <v>2</v>
      </c>
      <c r="I875" s="9">
        <v>2</v>
      </c>
      <c r="J875" s="9">
        <v>3</v>
      </c>
      <c r="K875" s="9">
        <v>3</v>
      </c>
      <c r="L875" s="9">
        <v>3</v>
      </c>
      <c r="M875" s="9">
        <v>2</v>
      </c>
      <c r="N875" s="185">
        <f t="shared" si="64"/>
        <v>0.67913051197703389</v>
      </c>
      <c r="O875" s="159">
        <f t="shared" si="65"/>
        <v>0.67913051197703389</v>
      </c>
      <c r="P875" s="63" t="s">
        <v>1990</v>
      </c>
    </row>
    <row r="876" spans="1:868" hidden="1">
      <c r="A876" s="151" t="s">
        <v>261</v>
      </c>
      <c r="B876" s="34" t="s">
        <v>251</v>
      </c>
      <c r="C876" s="40" t="s">
        <v>139</v>
      </c>
      <c r="D876" s="34" t="s">
        <v>139</v>
      </c>
      <c r="E876" s="851">
        <v>0.996</v>
      </c>
      <c r="F876" s="34">
        <v>2</v>
      </c>
      <c r="G876" s="515" t="s">
        <v>1992</v>
      </c>
      <c r="H876" s="29">
        <v>2</v>
      </c>
      <c r="I876" s="9">
        <v>2</v>
      </c>
      <c r="J876" s="9">
        <v>3</v>
      </c>
      <c r="K876" s="9">
        <v>3</v>
      </c>
      <c r="L876" s="9">
        <v>3</v>
      </c>
      <c r="M876" s="9">
        <v>2</v>
      </c>
      <c r="N876" s="185">
        <f t="shared" si="64"/>
        <v>0.67913051197703389</v>
      </c>
      <c r="O876" s="159">
        <f t="shared" si="65"/>
        <v>0.67913051197703389</v>
      </c>
      <c r="P876" s="63" t="s">
        <v>1990</v>
      </c>
    </row>
    <row r="877" spans="1:868" s="7" customFormat="1" hidden="1">
      <c r="A877" s="609" t="s">
        <v>118</v>
      </c>
      <c r="B877" s="59" t="s">
        <v>428</v>
      </c>
      <c r="C877" s="40" t="s">
        <v>139</v>
      </c>
      <c r="D877" s="34" t="s">
        <v>99</v>
      </c>
      <c r="E877" s="859">
        <v>0.10650572468270171</v>
      </c>
      <c r="F877" s="34">
        <v>2</v>
      </c>
      <c r="G877" s="40" t="s">
        <v>429</v>
      </c>
      <c r="H877" s="29">
        <v>1</v>
      </c>
      <c r="I877" s="9">
        <v>2</v>
      </c>
      <c r="J877" s="9">
        <v>2</v>
      </c>
      <c r="K877" s="9">
        <v>1</v>
      </c>
      <c r="L877" s="9">
        <v>1</v>
      </c>
      <c r="M877" s="9">
        <v>2</v>
      </c>
      <c r="N877" s="185">
        <f t="shared" si="64"/>
        <v>0.35859414261160716</v>
      </c>
      <c r="O877" s="159">
        <f t="shared" si="65"/>
        <v>0.37356464144298934</v>
      </c>
      <c r="P877" s="63"/>
      <c r="Q877" s="808"/>
      <c r="R877" s="808"/>
      <c r="S877" s="808"/>
      <c r="T877" s="808"/>
      <c r="U877" s="808"/>
      <c r="V877" s="808"/>
      <c r="W877" s="808"/>
      <c r="X877" s="808"/>
      <c r="Y877" s="808"/>
      <c r="Z877" s="808"/>
      <c r="AA877" s="808"/>
      <c r="AB877" s="808"/>
      <c r="AC877" s="808"/>
      <c r="AD877" s="808"/>
      <c r="AE877" s="808"/>
      <c r="AF877" s="808"/>
      <c r="AG877" s="808"/>
      <c r="AH877" s="808"/>
      <c r="AI877" s="808"/>
      <c r="AJ877" s="808"/>
      <c r="AK877" s="808"/>
      <c r="AL877" s="808"/>
      <c r="AM877" s="808"/>
      <c r="AN877" s="808"/>
      <c r="AO877" s="808"/>
      <c r="AP877" s="808"/>
      <c r="AQ877" s="808"/>
      <c r="AR877" s="808"/>
      <c r="AS877" s="808"/>
      <c r="AT877" s="808"/>
      <c r="AU877" s="808"/>
      <c r="AV877" s="808"/>
      <c r="AW877" s="808"/>
      <c r="AX877" s="808"/>
      <c r="AY877" s="808"/>
      <c r="AZ877" s="808"/>
      <c r="BA877" s="808"/>
      <c r="BB877" s="808"/>
      <c r="BC877" s="808"/>
      <c r="BD877" s="808"/>
      <c r="BE877" s="808"/>
      <c r="BF877" s="808"/>
      <c r="BG877" s="808"/>
      <c r="BH877" s="808"/>
      <c r="BI877" s="808"/>
      <c r="BJ877" s="808"/>
      <c r="BK877" s="808"/>
      <c r="BL877" s="808"/>
      <c r="BM877" s="808"/>
      <c r="BN877" s="808"/>
      <c r="BO877" s="808"/>
      <c r="BP877" s="808"/>
      <c r="BQ877" s="808"/>
      <c r="BR877" s="808"/>
      <c r="BS877" s="808"/>
      <c r="BT877" s="808"/>
      <c r="BU877" s="808"/>
      <c r="BV877" s="808"/>
      <c r="BW877" s="808"/>
      <c r="BX877" s="808"/>
      <c r="BY877" s="808"/>
      <c r="BZ877" s="808"/>
      <c r="CA877" s="808"/>
      <c r="CB877" s="808"/>
      <c r="CC877" s="808"/>
      <c r="CD877" s="808"/>
      <c r="CE877" s="808"/>
      <c r="CF877" s="808"/>
      <c r="CG877" s="808"/>
      <c r="CH877" s="808"/>
      <c r="CI877" s="808"/>
      <c r="CJ877" s="808"/>
      <c r="CK877" s="808"/>
      <c r="CL877" s="808"/>
      <c r="CM877" s="808"/>
      <c r="CN877" s="808"/>
      <c r="CO877" s="808"/>
      <c r="CP877" s="808"/>
      <c r="CQ877" s="808"/>
      <c r="CR877" s="808"/>
      <c r="CS877" s="808"/>
      <c r="CT877" s="808"/>
      <c r="CU877" s="808"/>
      <c r="CV877" s="808"/>
      <c r="CW877" s="808"/>
      <c r="CX877" s="808"/>
      <c r="CY877" s="808"/>
      <c r="CZ877" s="808"/>
      <c r="DA877" s="808"/>
      <c r="DB877" s="808"/>
      <c r="DC877" s="808"/>
      <c r="DD877" s="808"/>
      <c r="DE877" s="808"/>
      <c r="DF877" s="808"/>
      <c r="DG877" s="808"/>
      <c r="DH877" s="808"/>
      <c r="DI877" s="808"/>
      <c r="DJ877" s="808"/>
      <c r="DK877" s="808"/>
      <c r="DL877" s="808"/>
      <c r="DM877" s="808"/>
      <c r="DN877" s="808"/>
      <c r="DO877" s="808"/>
      <c r="DP877" s="808"/>
      <c r="DQ877" s="808"/>
      <c r="DR877" s="808"/>
      <c r="DS877" s="808"/>
      <c r="DT877" s="808"/>
      <c r="DU877" s="808"/>
      <c r="DV877" s="808"/>
      <c r="DW877" s="808"/>
      <c r="DX877" s="808"/>
      <c r="DY877" s="808"/>
      <c r="DZ877" s="808"/>
      <c r="EA877" s="808"/>
      <c r="EB877" s="808"/>
      <c r="EC877" s="808"/>
      <c r="ED877" s="808"/>
      <c r="EE877" s="808"/>
      <c r="EF877" s="808"/>
      <c r="EG877" s="808"/>
      <c r="EH877" s="808"/>
      <c r="EI877" s="808"/>
      <c r="EJ877" s="808"/>
      <c r="EK877" s="808"/>
      <c r="EL877" s="808"/>
      <c r="EM877" s="808"/>
      <c r="EN877" s="808"/>
      <c r="EO877" s="808"/>
      <c r="EP877" s="808"/>
      <c r="EQ877" s="808"/>
      <c r="ER877" s="808"/>
      <c r="ES877" s="808"/>
      <c r="ET877" s="808"/>
      <c r="EU877" s="808"/>
      <c r="EV877" s="808"/>
      <c r="EW877" s="808"/>
      <c r="EX877" s="808"/>
      <c r="EY877" s="808"/>
      <c r="EZ877" s="808"/>
      <c r="FA877" s="808"/>
      <c r="FB877" s="808"/>
      <c r="FC877" s="808"/>
      <c r="FD877" s="808"/>
      <c r="FE877" s="808"/>
      <c r="FF877" s="808"/>
      <c r="FG877" s="808"/>
      <c r="FH877" s="808"/>
      <c r="FI877" s="808"/>
      <c r="FJ877" s="808"/>
      <c r="FK877" s="808"/>
      <c r="FL877" s="808"/>
      <c r="FM877" s="808"/>
      <c r="FN877" s="808"/>
      <c r="FO877" s="808"/>
      <c r="FP877" s="808"/>
      <c r="FQ877" s="808"/>
      <c r="FR877" s="808"/>
      <c r="FS877" s="808"/>
      <c r="FT877" s="808"/>
      <c r="FU877" s="808"/>
      <c r="FV877" s="808"/>
      <c r="FW877" s="808"/>
      <c r="FX877" s="808"/>
      <c r="FY877" s="808"/>
      <c r="FZ877" s="808"/>
      <c r="GA877" s="808"/>
      <c r="GB877" s="808"/>
      <c r="GC877" s="808"/>
      <c r="GD877" s="808"/>
      <c r="GE877" s="808"/>
      <c r="GF877" s="808"/>
      <c r="GG877" s="808"/>
      <c r="GH877" s="808"/>
      <c r="GI877" s="808"/>
      <c r="GJ877" s="808"/>
      <c r="GK877" s="808"/>
      <c r="GL877" s="808"/>
      <c r="GM877" s="808"/>
      <c r="GN877" s="808"/>
      <c r="GO877" s="808"/>
      <c r="GP877" s="808"/>
      <c r="GQ877" s="808"/>
      <c r="GR877" s="808"/>
      <c r="GS877" s="808"/>
      <c r="GT877" s="808"/>
      <c r="GU877" s="808"/>
      <c r="GV877" s="808"/>
      <c r="GW877" s="808"/>
      <c r="GX877" s="808"/>
      <c r="GY877" s="808"/>
      <c r="GZ877" s="808"/>
      <c r="HA877" s="808"/>
      <c r="HB877" s="808"/>
      <c r="HC877" s="808"/>
      <c r="HD877" s="808"/>
      <c r="HE877" s="808"/>
      <c r="HF877" s="808"/>
      <c r="HG877" s="808"/>
      <c r="HH877" s="808"/>
      <c r="HI877" s="808"/>
      <c r="HJ877" s="808"/>
      <c r="HK877" s="808"/>
      <c r="HL877" s="808"/>
      <c r="HM877" s="808"/>
      <c r="HN877" s="808"/>
      <c r="HO877" s="808"/>
      <c r="HP877" s="808"/>
      <c r="HQ877" s="808"/>
      <c r="HR877" s="808"/>
      <c r="HS877" s="808"/>
      <c r="HT877" s="808"/>
      <c r="HU877" s="808"/>
      <c r="HV877" s="808"/>
      <c r="HW877" s="808"/>
      <c r="HX877" s="808"/>
      <c r="HY877" s="808"/>
      <c r="HZ877" s="808"/>
      <c r="IA877" s="808"/>
      <c r="IB877" s="808"/>
      <c r="IC877" s="808"/>
      <c r="ID877" s="808"/>
      <c r="IE877" s="808"/>
      <c r="IF877" s="808"/>
      <c r="IG877" s="808"/>
      <c r="IH877" s="808"/>
      <c r="II877" s="808"/>
      <c r="IJ877" s="808"/>
      <c r="IK877" s="808"/>
      <c r="IL877" s="808"/>
      <c r="IM877" s="808"/>
      <c r="IN877" s="808"/>
      <c r="IO877" s="808"/>
      <c r="IP877" s="808"/>
      <c r="IQ877" s="808"/>
      <c r="IR877" s="808"/>
      <c r="IS877" s="808"/>
      <c r="IT877" s="808"/>
      <c r="IU877" s="808"/>
      <c r="IV877" s="808"/>
      <c r="IW877" s="808"/>
      <c r="IX877" s="808"/>
      <c r="IY877" s="808"/>
      <c r="IZ877" s="808"/>
      <c r="JA877" s="808"/>
      <c r="JB877" s="808"/>
      <c r="JC877" s="808"/>
      <c r="JD877" s="808"/>
      <c r="JE877" s="808"/>
      <c r="JF877" s="808"/>
      <c r="JG877" s="808"/>
      <c r="JH877" s="808"/>
      <c r="JI877" s="808"/>
      <c r="JJ877" s="808"/>
      <c r="JK877" s="808"/>
      <c r="JL877" s="808"/>
      <c r="JM877" s="808"/>
      <c r="JN877" s="808"/>
      <c r="JO877" s="808"/>
      <c r="JP877" s="808"/>
      <c r="JQ877" s="808"/>
      <c r="JR877" s="808"/>
      <c r="JS877" s="808"/>
      <c r="JT877" s="808"/>
      <c r="JU877" s="808"/>
      <c r="JV877" s="808"/>
      <c r="JW877" s="808"/>
      <c r="JX877" s="808"/>
      <c r="JY877" s="808"/>
      <c r="JZ877" s="808"/>
      <c r="KA877" s="808"/>
      <c r="KB877" s="808"/>
      <c r="KC877" s="808"/>
      <c r="KD877" s="808"/>
      <c r="KE877" s="808"/>
      <c r="KF877" s="808"/>
      <c r="KG877" s="808"/>
      <c r="KH877" s="808"/>
      <c r="KI877" s="808"/>
      <c r="KJ877" s="808"/>
      <c r="KK877" s="808"/>
      <c r="KL877" s="808"/>
      <c r="KM877" s="808"/>
      <c r="KN877" s="808"/>
      <c r="KO877" s="808"/>
      <c r="KP877" s="808"/>
      <c r="KQ877" s="808"/>
      <c r="KR877" s="808"/>
      <c r="KS877" s="808"/>
      <c r="KT877" s="808"/>
      <c r="KU877" s="808"/>
      <c r="KV877" s="808"/>
      <c r="KW877" s="808"/>
      <c r="KX877" s="808"/>
      <c r="KY877" s="808"/>
      <c r="KZ877" s="808"/>
      <c r="LA877" s="808"/>
      <c r="LB877" s="808"/>
      <c r="LC877" s="808"/>
      <c r="LD877" s="808"/>
      <c r="LE877" s="808"/>
      <c r="LF877" s="808"/>
      <c r="LG877" s="808"/>
      <c r="LH877" s="808"/>
      <c r="LI877" s="808"/>
      <c r="LJ877" s="808"/>
      <c r="LK877" s="808"/>
      <c r="LL877" s="808"/>
      <c r="LM877" s="808"/>
      <c r="LN877" s="808"/>
      <c r="LO877" s="808"/>
      <c r="LP877" s="808"/>
      <c r="LQ877" s="808"/>
      <c r="LR877" s="808"/>
      <c r="LS877" s="808"/>
      <c r="LT877" s="808"/>
      <c r="LU877" s="808"/>
      <c r="LV877" s="808"/>
      <c r="LW877" s="808"/>
      <c r="LX877" s="808"/>
      <c r="LY877" s="808"/>
      <c r="LZ877" s="808"/>
      <c r="MA877" s="808"/>
      <c r="MB877" s="808"/>
      <c r="MC877" s="808"/>
      <c r="MD877" s="808"/>
      <c r="ME877" s="808"/>
      <c r="MF877" s="808"/>
      <c r="MG877" s="808"/>
      <c r="MH877" s="808"/>
      <c r="MI877" s="808"/>
      <c r="MJ877" s="808"/>
      <c r="MK877" s="808"/>
      <c r="ML877" s="808"/>
      <c r="MM877" s="808"/>
      <c r="MN877" s="808"/>
      <c r="MO877" s="808"/>
      <c r="MP877" s="808"/>
      <c r="MQ877" s="808"/>
      <c r="MR877" s="808"/>
      <c r="MS877" s="808"/>
      <c r="MT877" s="808"/>
      <c r="MU877" s="808"/>
      <c r="MV877" s="808"/>
      <c r="MW877" s="808"/>
      <c r="MX877" s="808"/>
      <c r="MY877" s="808"/>
      <c r="MZ877" s="808"/>
      <c r="NA877" s="808"/>
      <c r="NB877" s="808"/>
      <c r="NC877" s="808"/>
      <c r="ND877" s="808"/>
      <c r="NE877" s="808"/>
      <c r="NF877" s="808"/>
      <c r="NG877" s="808"/>
      <c r="NH877" s="808"/>
      <c r="NI877" s="808"/>
      <c r="NJ877" s="808"/>
      <c r="NK877" s="808"/>
      <c r="NL877" s="808"/>
      <c r="NM877" s="808"/>
      <c r="NN877" s="808"/>
      <c r="NO877" s="808"/>
      <c r="NP877" s="808"/>
      <c r="NQ877" s="808"/>
      <c r="NR877" s="808"/>
      <c r="NS877" s="808"/>
      <c r="NT877" s="808"/>
      <c r="NU877" s="808"/>
      <c r="NV877" s="808"/>
      <c r="NW877" s="808"/>
      <c r="NX877" s="808"/>
      <c r="NY877" s="808"/>
      <c r="NZ877" s="808"/>
      <c r="OA877" s="808"/>
      <c r="OB877" s="808"/>
      <c r="OC877" s="808"/>
      <c r="OD877" s="808"/>
      <c r="OE877" s="808"/>
      <c r="OF877" s="808"/>
      <c r="OG877" s="808"/>
      <c r="OH877" s="808"/>
      <c r="OI877" s="808"/>
      <c r="OJ877" s="808"/>
      <c r="OK877" s="808"/>
      <c r="OL877" s="808"/>
      <c r="OM877" s="808"/>
      <c r="ON877" s="808"/>
      <c r="OO877" s="808"/>
      <c r="OP877" s="808"/>
      <c r="OQ877" s="808"/>
      <c r="OR877" s="808"/>
      <c r="OS877" s="808"/>
      <c r="OT877" s="808"/>
      <c r="OU877" s="808"/>
      <c r="OV877" s="808"/>
      <c r="OW877" s="808"/>
      <c r="OX877" s="808"/>
      <c r="OY877" s="808"/>
      <c r="OZ877" s="808"/>
      <c r="PA877" s="808"/>
      <c r="PB877" s="808"/>
      <c r="PC877" s="808"/>
      <c r="PD877" s="808"/>
      <c r="PE877" s="808"/>
      <c r="PF877" s="808"/>
      <c r="PG877" s="808"/>
      <c r="PH877" s="808"/>
      <c r="PI877" s="808"/>
      <c r="PJ877" s="808"/>
      <c r="PK877" s="808"/>
      <c r="PL877" s="808"/>
      <c r="PM877" s="808"/>
      <c r="PN877" s="808"/>
      <c r="PO877" s="808"/>
      <c r="PP877" s="808"/>
      <c r="PQ877" s="808"/>
      <c r="PR877" s="808"/>
      <c r="PS877" s="808"/>
      <c r="PT877" s="808"/>
      <c r="PU877" s="808"/>
      <c r="PV877" s="808"/>
      <c r="PW877" s="808"/>
      <c r="PX877" s="808"/>
      <c r="PY877" s="808"/>
      <c r="PZ877" s="808"/>
      <c r="QA877" s="808"/>
      <c r="QB877" s="808"/>
      <c r="QC877" s="808"/>
      <c r="QD877" s="808"/>
      <c r="QE877" s="808"/>
      <c r="QF877" s="808"/>
      <c r="QG877" s="808"/>
      <c r="QH877" s="808"/>
      <c r="QI877" s="808"/>
      <c r="QJ877" s="808"/>
      <c r="QK877" s="808"/>
      <c r="QL877" s="808"/>
      <c r="QM877" s="808"/>
      <c r="QN877" s="808"/>
      <c r="QO877" s="808"/>
      <c r="QP877" s="808"/>
      <c r="QQ877" s="808"/>
      <c r="QR877" s="808"/>
      <c r="QS877" s="808"/>
      <c r="QT877" s="808"/>
      <c r="QU877" s="808"/>
      <c r="QV877" s="808"/>
      <c r="QW877" s="808"/>
      <c r="QX877" s="808"/>
      <c r="QY877" s="808"/>
      <c r="QZ877" s="808"/>
      <c r="RA877" s="808"/>
      <c r="RB877" s="808"/>
      <c r="RC877" s="808"/>
      <c r="RD877" s="808"/>
      <c r="RE877" s="808"/>
      <c r="RF877" s="808"/>
      <c r="RG877" s="808"/>
      <c r="RH877" s="808"/>
      <c r="RI877" s="808"/>
      <c r="RJ877" s="808"/>
      <c r="RK877" s="808"/>
      <c r="RL877" s="808"/>
      <c r="RM877" s="808"/>
      <c r="RN877" s="808"/>
      <c r="RO877" s="808"/>
      <c r="RP877" s="808"/>
      <c r="RQ877" s="808"/>
      <c r="RR877" s="808"/>
      <c r="RS877" s="808"/>
      <c r="RT877" s="808"/>
      <c r="RU877" s="808"/>
      <c r="RV877" s="808"/>
      <c r="RW877" s="808"/>
      <c r="RX877" s="808"/>
      <c r="RY877" s="808"/>
      <c r="RZ877" s="808"/>
      <c r="SA877" s="808"/>
      <c r="SB877" s="808"/>
      <c r="SC877" s="808"/>
      <c r="SD877" s="808"/>
      <c r="SE877" s="808"/>
      <c r="SF877" s="808"/>
      <c r="SG877" s="808"/>
      <c r="SH877" s="808"/>
      <c r="SI877" s="808"/>
      <c r="SJ877" s="808"/>
      <c r="SK877" s="808"/>
      <c r="SL877" s="808"/>
      <c r="SM877" s="808"/>
      <c r="SN877" s="808"/>
      <c r="SO877" s="808"/>
      <c r="SP877" s="808"/>
      <c r="SQ877" s="808"/>
      <c r="SR877" s="808"/>
      <c r="SS877" s="808"/>
      <c r="ST877" s="808"/>
      <c r="SU877" s="808"/>
      <c r="SV877" s="808"/>
      <c r="SW877" s="808"/>
      <c r="SX877" s="808"/>
      <c r="SY877" s="808"/>
      <c r="SZ877" s="808"/>
      <c r="TA877" s="808"/>
      <c r="TB877" s="808"/>
      <c r="TC877" s="808"/>
      <c r="TD877" s="808"/>
      <c r="TE877" s="808"/>
      <c r="TF877" s="808"/>
      <c r="TG877" s="808"/>
      <c r="TH877" s="808"/>
      <c r="TI877" s="808"/>
      <c r="TJ877" s="808"/>
      <c r="TK877" s="808"/>
      <c r="TL877" s="808"/>
      <c r="TM877" s="808"/>
      <c r="TN877" s="808"/>
      <c r="TO877" s="808"/>
      <c r="TP877" s="808"/>
      <c r="TQ877" s="808"/>
      <c r="TR877" s="808"/>
      <c r="TS877" s="808"/>
      <c r="TT877" s="808"/>
      <c r="TU877" s="808"/>
      <c r="TV877" s="808"/>
      <c r="TW877" s="808"/>
      <c r="TX877" s="808"/>
      <c r="TY877" s="808"/>
      <c r="TZ877" s="808"/>
      <c r="UA877" s="808"/>
      <c r="UB877" s="808"/>
      <c r="UC877" s="808"/>
      <c r="UD877" s="808"/>
      <c r="UE877" s="808"/>
      <c r="UF877" s="808"/>
      <c r="UG877" s="808"/>
      <c r="UH877" s="808"/>
      <c r="UI877" s="808"/>
      <c r="UJ877" s="808"/>
      <c r="UK877" s="808"/>
      <c r="UL877" s="808"/>
      <c r="UM877" s="808"/>
      <c r="UN877" s="808"/>
      <c r="UO877" s="808"/>
      <c r="UP877" s="808"/>
      <c r="UQ877" s="808"/>
      <c r="UR877" s="808"/>
      <c r="US877" s="808"/>
      <c r="UT877" s="808"/>
      <c r="UU877" s="808"/>
      <c r="UV877" s="808"/>
      <c r="UW877" s="808"/>
      <c r="UX877" s="808"/>
      <c r="UY877" s="808"/>
      <c r="UZ877" s="808"/>
      <c r="VA877" s="808"/>
      <c r="VB877" s="808"/>
      <c r="VC877" s="808"/>
      <c r="VD877" s="808"/>
      <c r="VE877" s="808"/>
      <c r="VF877" s="808"/>
      <c r="VG877" s="808"/>
      <c r="VH877" s="808"/>
      <c r="VI877" s="808"/>
      <c r="VJ877" s="808"/>
      <c r="VK877" s="808"/>
      <c r="VL877" s="808"/>
      <c r="VM877" s="808"/>
      <c r="VN877" s="808"/>
      <c r="VO877" s="808"/>
      <c r="VP877" s="808"/>
      <c r="VQ877" s="808"/>
      <c r="VR877" s="808"/>
      <c r="VS877" s="808"/>
      <c r="VT877" s="808"/>
      <c r="VU877" s="808"/>
      <c r="VV877" s="808"/>
      <c r="VW877" s="808"/>
      <c r="VX877" s="808"/>
      <c r="VY877" s="808"/>
      <c r="VZ877" s="808"/>
      <c r="WA877" s="808"/>
      <c r="WB877" s="808"/>
      <c r="WC877" s="808"/>
      <c r="WD877" s="808"/>
      <c r="WE877" s="808"/>
      <c r="WF877" s="808"/>
      <c r="WG877" s="808"/>
      <c r="WH877" s="808"/>
      <c r="WI877" s="808"/>
      <c r="WJ877" s="808"/>
      <c r="WK877" s="808"/>
      <c r="WL877" s="808"/>
      <c r="WM877" s="808"/>
      <c r="WN877" s="808"/>
      <c r="WO877" s="808"/>
      <c r="WP877" s="808"/>
      <c r="WQ877" s="808"/>
      <c r="WR877" s="808"/>
      <c r="WS877" s="808"/>
      <c r="WT877" s="808"/>
      <c r="WU877" s="808"/>
      <c r="WV877" s="808"/>
      <c r="WW877" s="808"/>
      <c r="WX877" s="808"/>
      <c r="WY877" s="808"/>
      <c r="WZ877" s="808"/>
      <c r="XA877" s="808"/>
      <c r="XB877" s="808"/>
      <c r="XC877" s="808"/>
      <c r="XD877" s="808"/>
      <c r="XE877" s="808"/>
      <c r="XF877" s="808"/>
      <c r="XG877" s="808"/>
      <c r="XH877" s="808"/>
      <c r="XI877" s="808"/>
      <c r="XJ877" s="808"/>
      <c r="XK877" s="808"/>
      <c r="XL877" s="808"/>
      <c r="XM877" s="808"/>
      <c r="XN877" s="808"/>
      <c r="XO877" s="808"/>
      <c r="XP877" s="808"/>
      <c r="XQ877" s="808"/>
      <c r="XR877" s="808"/>
      <c r="XS877" s="808"/>
      <c r="XT877" s="808"/>
      <c r="XU877" s="808"/>
      <c r="XV877" s="808"/>
      <c r="XW877" s="808"/>
      <c r="XX877" s="808"/>
      <c r="XY877" s="808"/>
      <c r="XZ877" s="808"/>
      <c r="YA877" s="808"/>
      <c r="YB877" s="808"/>
      <c r="YC877" s="808"/>
      <c r="YD877" s="808"/>
      <c r="YE877" s="808"/>
      <c r="YF877" s="808"/>
      <c r="YG877" s="808"/>
      <c r="YH877" s="808"/>
      <c r="YI877" s="808"/>
      <c r="YJ877" s="808"/>
      <c r="YK877" s="808"/>
      <c r="YL877" s="808"/>
      <c r="YM877" s="808"/>
      <c r="YN877" s="808"/>
      <c r="YO877" s="808"/>
      <c r="YP877" s="808"/>
      <c r="YQ877" s="808"/>
      <c r="YR877" s="808"/>
      <c r="YS877" s="808"/>
      <c r="YT877" s="808"/>
      <c r="YU877" s="808"/>
      <c r="YV877" s="808"/>
      <c r="YW877" s="808"/>
      <c r="YX877" s="808"/>
      <c r="YY877" s="808"/>
      <c r="YZ877" s="808"/>
      <c r="ZA877" s="808"/>
      <c r="ZB877" s="808"/>
      <c r="ZC877" s="808"/>
      <c r="ZD877" s="808"/>
      <c r="ZE877" s="808"/>
      <c r="ZF877" s="808"/>
      <c r="ZG877" s="808"/>
      <c r="ZH877" s="808"/>
      <c r="ZI877" s="808"/>
      <c r="ZJ877" s="808"/>
      <c r="ZK877" s="808"/>
      <c r="ZL877" s="808"/>
      <c r="ZM877" s="808"/>
      <c r="ZN877" s="808"/>
      <c r="ZO877" s="808"/>
      <c r="ZP877" s="808"/>
      <c r="ZQ877" s="808"/>
      <c r="ZR877" s="808"/>
      <c r="ZS877" s="808"/>
      <c r="ZT877" s="808"/>
      <c r="ZU877" s="808"/>
      <c r="ZV877" s="808"/>
      <c r="ZW877" s="808"/>
      <c r="ZX877" s="808"/>
      <c r="ZY877" s="808"/>
      <c r="ZZ877" s="808"/>
      <c r="AAA877" s="808"/>
      <c r="AAB877" s="808"/>
      <c r="AAC877" s="808"/>
      <c r="AAD877" s="808"/>
      <c r="AAE877" s="808"/>
      <c r="AAF877" s="808"/>
      <c r="AAG877" s="808"/>
      <c r="AAH877" s="808"/>
      <c r="AAI877" s="808"/>
      <c r="AAJ877" s="808"/>
      <c r="AAK877" s="808"/>
      <c r="AAL877" s="808"/>
      <c r="AAM877" s="808"/>
      <c r="AAN877" s="808"/>
      <c r="AAO877" s="808"/>
      <c r="AAP877" s="808"/>
      <c r="AAQ877" s="808"/>
      <c r="AAR877" s="808"/>
      <c r="AAS877" s="808"/>
      <c r="AAT877" s="808"/>
      <c r="AAU877" s="808"/>
      <c r="AAV877" s="808"/>
      <c r="AAW877" s="808"/>
      <c r="AAX877" s="808"/>
      <c r="AAY877" s="808"/>
      <c r="AAZ877" s="808"/>
      <c r="ABA877" s="808"/>
      <c r="ABB877" s="808"/>
      <c r="ABC877" s="808"/>
      <c r="ABD877" s="808"/>
      <c r="ABE877" s="808"/>
      <c r="ABF877" s="808"/>
      <c r="ABG877" s="808"/>
      <c r="ABH877" s="808"/>
      <c r="ABI877" s="808"/>
      <c r="ABJ877" s="808"/>
      <c r="ABK877" s="808"/>
      <c r="ABL877" s="808"/>
      <c r="ABM877" s="808"/>
      <c r="ABN877" s="808"/>
      <c r="ABO877" s="808"/>
      <c r="ABP877" s="808"/>
      <c r="ABQ877" s="808"/>
      <c r="ABR877" s="808"/>
      <c r="ABS877" s="808"/>
      <c r="ABT877" s="808"/>
      <c r="ABU877" s="808"/>
      <c r="ABV877" s="808"/>
      <c r="ABW877" s="808"/>
      <c r="ABX877" s="808"/>
      <c r="ABY877" s="808"/>
      <c r="ABZ877" s="808"/>
      <c r="ACA877" s="808"/>
      <c r="ACB877" s="808"/>
      <c r="ACC877" s="808"/>
      <c r="ACD877" s="808"/>
      <c r="ACE877" s="808"/>
      <c r="ACF877" s="808"/>
      <c r="ACG877" s="808"/>
      <c r="ACH877" s="808"/>
      <c r="ACI877" s="808"/>
      <c r="ACJ877" s="808"/>
      <c r="ACK877" s="808"/>
      <c r="ACL877" s="808"/>
      <c r="ACM877" s="808"/>
      <c r="ACN877" s="808"/>
      <c r="ACO877" s="808"/>
      <c r="ACP877" s="808"/>
      <c r="ACQ877" s="808"/>
      <c r="ACR877" s="808"/>
      <c r="ACS877" s="808"/>
      <c r="ACT877" s="808"/>
      <c r="ACU877" s="808"/>
      <c r="ACV877" s="808"/>
      <c r="ACW877" s="808"/>
      <c r="ACX877" s="808"/>
      <c r="ACY877" s="808"/>
      <c r="ACZ877" s="808"/>
      <c r="ADA877" s="808"/>
      <c r="ADB877" s="808"/>
      <c r="ADC877" s="808"/>
      <c r="ADD877" s="808"/>
      <c r="ADE877" s="808"/>
      <c r="ADF877" s="808"/>
      <c r="ADG877" s="808"/>
      <c r="ADH877" s="808"/>
      <c r="ADI877" s="808"/>
      <c r="ADJ877" s="808"/>
      <c r="ADK877" s="808"/>
      <c r="ADL877" s="808"/>
      <c r="ADM877" s="808"/>
      <c r="ADN877" s="808"/>
      <c r="ADO877" s="808"/>
      <c r="ADP877" s="808"/>
      <c r="ADQ877" s="808"/>
      <c r="ADR877" s="808"/>
      <c r="ADS877" s="808"/>
      <c r="ADT877" s="808"/>
      <c r="ADU877" s="808"/>
      <c r="ADV877" s="808"/>
      <c r="ADW877" s="808"/>
      <c r="ADX877" s="808"/>
      <c r="ADY877" s="808"/>
      <c r="ADZ877" s="808"/>
      <c r="AEA877" s="808"/>
      <c r="AEB877" s="808"/>
      <c r="AEC877" s="808"/>
      <c r="AED877" s="808"/>
      <c r="AEE877" s="808"/>
      <c r="AEF877" s="808"/>
      <c r="AEG877" s="808"/>
      <c r="AEH877" s="808"/>
      <c r="AEI877" s="808"/>
      <c r="AEJ877" s="808"/>
      <c r="AEK877" s="808"/>
      <c r="AEL877" s="808"/>
      <c r="AEM877" s="808"/>
      <c r="AEN877" s="808"/>
      <c r="AEO877" s="808"/>
      <c r="AEP877" s="808"/>
      <c r="AEQ877" s="808"/>
      <c r="AER877" s="808"/>
      <c r="AES877" s="808"/>
      <c r="AET877" s="808"/>
      <c r="AEU877" s="808"/>
      <c r="AEV877" s="808"/>
      <c r="AEW877" s="808"/>
      <c r="AEX877" s="808"/>
      <c r="AEY877" s="808"/>
      <c r="AEZ877" s="808"/>
      <c r="AFA877" s="808"/>
      <c r="AFB877" s="808"/>
      <c r="AFC877" s="808"/>
      <c r="AFD877" s="808"/>
      <c r="AFE877" s="808"/>
      <c r="AFF877" s="808"/>
      <c r="AFG877" s="808"/>
      <c r="AFH877" s="808"/>
      <c r="AFI877" s="808"/>
      <c r="AFJ877" s="808"/>
      <c r="AFK877" s="808"/>
      <c r="AFL877" s="808"/>
      <c r="AFM877" s="808"/>
      <c r="AFN877" s="808"/>
      <c r="AFO877" s="808"/>
      <c r="AFP877" s="808"/>
      <c r="AFQ877" s="808"/>
      <c r="AFR877" s="808"/>
      <c r="AFS877" s="808"/>
      <c r="AFT877" s="808"/>
      <c r="AFU877" s="808"/>
      <c r="AFV877" s="808"/>
      <c r="AFW877" s="808"/>
      <c r="AFX877" s="808"/>
      <c r="AFY877" s="808"/>
      <c r="AFZ877" s="808"/>
      <c r="AGA877" s="808"/>
      <c r="AGB877" s="808"/>
      <c r="AGC877" s="808"/>
      <c r="AGD877" s="808"/>
      <c r="AGE877" s="808"/>
      <c r="AGF877" s="808"/>
      <c r="AGG877" s="808"/>
      <c r="AGH877" s="808"/>
      <c r="AGI877" s="808"/>
      <c r="AGJ877" s="808"/>
    </row>
    <row r="878" spans="1:868" s="7" customFormat="1" hidden="1">
      <c r="A878" s="609" t="s">
        <v>118</v>
      </c>
      <c r="B878" s="59" t="s">
        <v>430</v>
      </c>
      <c r="C878" s="40" t="s">
        <v>139</v>
      </c>
      <c r="D878" s="34" t="s">
        <v>99</v>
      </c>
      <c r="E878" s="859" t="s">
        <v>150</v>
      </c>
      <c r="F878" s="34">
        <v>1</v>
      </c>
      <c r="G878" s="40" t="s">
        <v>429</v>
      </c>
      <c r="H878" s="29"/>
      <c r="I878" s="9"/>
      <c r="J878" s="9"/>
      <c r="K878" s="9"/>
      <c r="L878" s="9"/>
      <c r="M878" s="9"/>
      <c r="N878" s="185"/>
      <c r="O878" s="159" t="str">
        <f t="shared" si="65"/>
        <v/>
      </c>
      <c r="P878" s="63"/>
      <c r="Q878" s="808"/>
      <c r="R878" s="808"/>
      <c r="S878" s="808"/>
      <c r="T878" s="808"/>
      <c r="U878" s="808"/>
      <c r="V878" s="808"/>
      <c r="W878" s="808"/>
      <c r="X878" s="808"/>
      <c r="Y878" s="808"/>
      <c r="Z878" s="808"/>
      <c r="AA878" s="808"/>
      <c r="AB878" s="808"/>
      <c r="AC878" s="808"/>
      <c r="AD878" s="808"/>
      <c r="AE878" s="808"/>
      <c r="AF878" s="808"/>
      <c r="AG878" s="808"/>
      <c r="AH878" s="808"/>
      <c r="AI878" s="808"/>
      <c r="AJ878" s="808"/>
      <c r="AK878" s="808"/>
      <c r="AL878" s="808"/>
      <c r="AM878" s="808"/>
      <c r="AN878" s="808"/>
      <c r="AO878" s="808"/>
      <c r="AP878" s="808"/>
      <c r="AQ878" s="808"/>
      <c r="AR878" s="808"/>
      <c r="AS878" s="808"/>
      <c r="AT878" s="808"/>
      <c r="AU878" s="808"/>
      <c r="AV878" s="808"/>
      <c r="AW878" s="808"/>
      <c r="AX878" s="808"/>
      <c r="AY878" s="808"/>
      <c r="AZ878" s="808"/>
      <c r="BA878" s="808"/>
      <c r="BB878" s="808"/>
      <c r="BC878" s="808"/>
      <c r="BD878" s="808"/>
      <c r="BE878" s="808"/>
      <c r="BF878" s="808"/>
      <c r="BG878" s="808"/>
      <c r="BH878" s="808"/>
      <c r="BI878" s="808"/>
      <c r="BJ878" s="808"/>
      <c r="BK878" s="808"/>
      <c r="BL878" s="808"/>
      <c r="BM878" s="808"/>
      <c r="BN878" s="808"/>
      <c r="BO878" s="808"/>
      <c r="BP878" s="808"/>
      <c r="BQ878" s="808"/>
      <c r="BR878" s="808"/>
      <c r="BS878" s="808"/>
      <c r="BT878" s="808"/>
      <c r="BU878" s="808"/>
      <c r="BV878" s="808"/>
      <c r="BW878" s="808"/>
      <c r="BX878" s="808"/>
      <c r="BY878" s="808"/>
      <c r="BZ878" s="808"/>
      <c r="CA878" s="808"/>
      <c r="CB878" s="808"/>
      <c r="CC878" s="808"/>
      <c r="CD878" s="808"/>
      <c r="CE878" s="808"/>
      <c r="CF878" s="808"/>
      <c r="CG878" s="808"/>
      <c r="CH878" s="808"/>
      <c r="CI878" s="808"/>
      <c r="CJ878" s="808"/>
      <c r="CK878" s="808"/>
      <c r="CL878" s="808"/>
      <c r="CM878" s="808"/>
      <c r="CN878" s="808"/>
      <c r="CO878" s="808"/>
      <c r="CP878" s="808"/>
      <c r="CQ878" s="808"/>
      <c r="CR878" s="808"/>
      <c r="CS878" s="808"/>
      <c r="CT878" s="808"/>
      <c r="CU878" s="808"/>
      <c r="CV878" s="808"/>
      <c r="CW878" s="808"/>
      <c r="CX878" s="808"/>
      <c r="CY878" s="808"/>
      <c r="CZ878" s="808"/>
      <c r="DA878" s="808"/>
      <c r="DB878" s="808"/>
      <c r="DC878" s="808"/>
      <c r="DD878" s="808"/>
      <c r="DE878" s="808"/>
      <c r="DF878" s="808"/>
      <c r="DG878" s="808"/>
      <c r="DH878" s="808"/>
      <c r="DI878" s="808"/>
      <c r="DJ878" s="808"/>
      <c r="DK878" s="808"/>
      <c r="DL878" s="808"/>
      <c r="DM878" s="808"/>
      <c r="DN878" s="808"/>
      <c r="DO878" s="808"/>
      <c r="DP878" s="808"/>
      <c r="DQ878" s="808"/>
      <c r="DR878" s="808"/>
      <c r="DS878" s="808"/>
      <c r="DT878" s="808"/>
      <c r="DU878" s="808"/>
      <c r="DV878" s="808"/>
      <c r="DW878" s="808"/>
      <c r="DX878" s="808"/>
      <c r="DY878" s="808"/>
      <c r="DZ878" s="808"/>
      <c r="EA878" s="808"/>
      <c r="EB878" s="808"/>
      <c r="EC878" s="808"/>
      <c r="ED878" s="808"/>
      <c r="EE878" s="808"/>
      <c r="EF878" s="808"/>
      <c r="EG878" s="808"/>
      <c r="EH878" s="808"/>
      <c r="EI878" s="808"/>
      <c r="EJ878" s="808"/>
      <c r="EK878" s="808"/>
      <c r="EL878" s="808"/>
      <c r="EM878" s="808"/>
      <c r="EN878" s="808"/>
      <c r="EO878" s="808"/>
      <c r="EP878" s="808"/>
      <c r="EQ878" s="808"/>
      <c r="ER878" s="808"/>
      <c r="ES878" s="808"/>
      <c r="ET878" s="808"/>
      <c r="EU878" s="808"/>
      <c r="EV878" s="808"/>
      <c r="EW878" s="808"/>
      <c r="EX878" s="808"/>
      <c r="EY878" s="808"/>
      <c r="EZ878" s="808"/>
      <c r="FA878" s="808"/>
      <c r="FB878" s="808"/>
      <c r="FC878" s="808"/>
      <c r="FD878" s="808"/>
      <c r="FE878" s="808"/>
      <c r="FF878" s="808"/>
      <c r="FG878" s="808"/>
      <c r="FH878" s="808"/>
      <c r="FI878" s="808"/>
      <c r="FJ878" s="808"/>
      <c r="FK878" s="808"/>
      <c r="FL878" s="808"/>
      <c r="FM878" s="808"/>
      <c r="FN878" s="808"/>
      <c r="FO878" s="808"/>
      <c r="FP878" s="808"/>
      <c r="FQ878" s="808"/>
      <c r="FR878" s="808"/>
      <c r="FS878" s="808"/>
      <c r="FT878" s="808"/>
      <c r="FU878" s="808"/>
      <c r="FV878" s="808"/>
      <c r="FW878" s="808"/>
      <c r="FX878" s="808"/>
      <c r="FY878" s="808"/>
      <c r="FZ878" s="808"/>
      <c r="GA878" s="808"/>
      <c r="GB878" s="808"/>
      <c r="GC878" s="808"/>
      <c r="GD878" s="808"/>
      <c r="GE878" s="808"/>
      <c r="GF878" s="808"/>
      <c r="GG878" s="808"/>
      <c r="GH878" s="808"/>
      <c r="GI878" s="808"/>
      <c r="GJ878" s="808"/>
      <c r="GK878" s="808"/>
      <c r="GL878" s="808"/>
      <c r="GM878" s="808"/>
      <c r="GN878" s="808"/>
      <c r="GO878" s="808"/>
      <c r="GP878" s="808"/>
      <c r="GQ878" s="808"/>
      <c r="GR878" s="808"/>
      <c r="GS878" s="808"/>
      <c r="GT878" s="808"/>
      <c r="GU878" s="808"/>
      <c r="GV878" s="808"/>
      <c r="GW878" s="808"/>
      <c r="GX878" s="808"/>
      <c r="GY878" s="808"/>
      <c r="GZ878" s="808"/>
      <c r="HA878" s="808"/>
      <c r="HB878" s="808"/>
      <c r="HC878" s="808"/>
      <c r="HD878" s="808"/>
      <c r="HE878" s="808"/>
      <c r="HF878" s="808"/>
      <c r="HG878" s="808"/>
      <c r="HH878" s="808"/>
      <c r="HI878" s="808"/>
      <c r="HJ878" s="808"/>
      <c r="HK878" s="808"/>
      <c r="HL878" s="808"/>
      <c r="HM878" s="808"/>
      <c r="HN878" s="808"/>
      <c r="HO878" s="808"/>
      <c r="HP878" s="808"/>
      <c r="HQ878" s="808"/>
      <c r="HR878" s="808"/>
      <c r="HS878" s="808"/>
      <c r="HT878" s="808"/>
      <c r="HU878" s="808"/>
      <c r="HV878" s="808"/>
      <c r="HW878" s="808"/>
      <c r="HX878" s="808"/>
      <c r="HY878" s="808"/>
      <c r="HZ878" s="808"/>
      <c r="IA878" s="808"/>
      <c r="IB878" s="808"/>
      <c r="IC878" s="808"/>
      <c r="ID878" s="808"/>
      <c r="IE878" s="808"/>
      <c r="IF878" s="808"/>
      <c r="IG878" s="808"/>
      <c r="IH878" s="808"/>
      <c r="II878" s="808"/>
      <c r="IJ878" s="808"/>
      <c r="IK878" s="808"/>
      <c r="IL878" s="808"/>
      <c r="IM878" s="808"/>
      <c r="IN878" s="808"/>
      <c r="IO878" s="808"/>
      <c r="IP878" s="808"/>
      <c r="IQ878" s="808"/>
      <c r="IR878" s="808"/>
      <c r="IS878" s="808"/>
      <c r="IT878" s="808"/>
      <c r="IU878" s="808"/>
      <c r="IV878" s="808"/>
      <c r="IW878" s="808"/>
      <c r="IX878" s="808"/>
      <c r="IY878" s="808"/>
      <c r="IZ878" s="808"/>
      <c r="JA878" s="808"/>
      <c r="JB878" s="808"/>
      <c r="JC878" s="808"/>
      <c r="JD878" s="808"/>
      <c r="JE878" s="808"/>
      <c r="JF878" s="808"/>
      <c r="JG878" s="808"/>
      <c r="JH878" s="808"/>
      <c r="JI878" s="808"/>
      <c r="JJ878" s="808"/>
      <c r="JK878" s="808"/>
      <c r="JL878" s="808"/>
      <c r="JM878" s="808"/>
      <c r="JN878" s="808"/>
      <c r="JO878" s="808"/>
      <c r="JP878" s="808"/>
      <c r="JQ878" s="808"/>
      <c r="JR878" s="808"/>
      <c r="JS878" s="808"/>
      <c r="JT878" s="808"/>
      <c r="JU878" s="808"/>
      <c r="JV878" s="808"/>
      <c r="JW878" s="808"/>
      <c r="JX878" s="808"/>
      <c r="JY878" s="808"/>
      <c r="JZ878" s="808"/>
      <c r="KA878" s="808"/>
      <c r="KB878" s="808"/>
      <c r="KC878" s="808"/>
      <c r="KD878" s="808"/>
      <c r="KE878" s="808"/>
      <c r="KF878" s="808"/>
      <c r="KG878" s="808"/>
      <c r="KH878" s="808"/>
      <c r="KI878" s="808"/>
      <c r="KJ878" s="808"/>
      <c r="KK878" s="808"/>
      <c r="KL878" s="808"/>
      <c r="KM878" s="808"/>
      <c r="KN878" s="808"/>
      <c r="KO878" s="808"/>
      <c r="KP878" s="808"/>
      <c r="KQ878" s="808"/>
      <c r="KR878" s="808"/>
      <c r="KS878" s="808"/>
      <c r="KT878" s="808"/>
      <c r="KU878" s="808"/>
      <c r="KV878" s="808"/>
      <c r="KW878" s="808"/>
      <c r="KX878" s="808"/>
      <c r="KY878" s="808"/>
      <c r="KZ878" s="808"/>
      <c r="LA878" s="808"/>
      <c r="LB878" s="808"/>
      <c r="LC878" s="808"/>
      <c r="LD878" s="808"/>
      <c r="LE878" s="808"/>
      <c r="LF878" s="808"/>
      <c r="LG878" s="808"/>
      <c r="LH878" s="808"/>
      <c r="LI878" s="808"/>
      <c r="LJ878" s="808"/>
      <c r="LK878" s="808"/>
      <c r="LL878" s="808"/>
      <c r="LM878" s="808"/>
      <c r="LN878" s="808"/>
      <c r="LO878" s="808"/>
      <c r="LP878" s="808"/>
      <c r="LQ878" s="808"/>
      <c r="LR878" s="808"/>
      <c r="LS878" s="808"/>
      <c r="LT878" s="808"/>
      <c r="LU878" s="808"/>
      <c r="LV878" s="808"/>
      <c r="LW878" s="808"/>
      <c r="LX878" s="808"/>
      <c r="LY878" s="808"/>
      <c r="LZ878" s="808"/>
      <c r="MA878" s="808"/>
      <c r="MB878" s="808"/>
      <c r="MC878" s="808"/>
      <c r="MD878" s="808"/>
      <c r="ME878" s="808"/>
      <c r="MF878" s="808"/>
      <c r="MG878" s="808"/>
      <c r="MH878" s="808"/>
      <c r="MI878" s="808"/>
      <c r="MJ878" s="808"/>
      <c r="MK878" s="808"/>
      <c r="ML878" s="808"/>
      <c r="MM878" s="808"/>
      <c r="MN878" s="808"/>
      <c r="MO878" s="808"/>
      <c r="MP878" s="808"/>
      <c r="MQ878" s="808"/>
      <c r="MR878" s="808"/>
      <c r="MS878" s="808"/>
      <c r="MT878" s="808"/>
      <c r="MU878" s="808"/>
      <c r="MV878" s="808"/>
      <c r="MW878" s="808"/>
      <c r="MX878" s="808"/>
      <c r="MY878" s="808"/>
      <c r="MZ878" s="808"/>
      <c r="NA878" s="808"/>
      <c r="NB878" s="808"/>
      <c r="NC878" s="808"/>
      <c r="ND878" s="808"/>
      <c r="NE878" s="808"/>
      <c r="NF878" s="808"/>
      <c r="NG878" s="808"/>
      <c r="NH878" s="808"/>
      <c r="NI878" s="808"/>
      <c r="NJ878" s="808"/>
      <c r="NK878" s="808"/>
      <c r="NL878" s="808"/>
      <c r="NM878" s="808"/>
      <c r="NN878" s="808"/>
      <c r="NO878" s="808"/>
      <c r="NP878" s="808"/>
      <c r="NQ878" s="808"/>
      <c r="NR878" s="808"/>
      <c r="NS878" s="808"/>
      <c r="NT878" s="808"/>
      <c r="NU878" s="808"/>
      <c r="NV878" s="808"/>
      <c r="NW878" s="808"/>
      <c r="NX878" s="808"/>
      <c r="NY878" s="808"/>
      <c r="NZ878" s="808"/>
      <c r="OA878" s="808"/>
      <c r="OB878" s="808"/>
      <c r="OC878" s="808"/>
      <c r="OD878" s="808"/>
      <c r="OE878" s="808"/>
      <c r="OF878" s="808"/>
      <c r="OG878" s="808"/>
      <c r="OH878" s="808"/>
      <c r="OI878" s="808"/>
      <c r="OJ878" s="808"/>
      <c r="OK878" s="808"/>
      <c r="OL878" s="808"/>
      <c r="OM878" s="808"/>
      <c r="ON878" s="808"/>
      <c r="OO878" s="808"/>
      <c r="OP878" s="808"/>
      <c r="OQ878" s="808"/>
      <c r="OR878" s="808"/>
      <c r="OS878" s="808"/>
      <c r="OT878" s="808"/>
      <c r="OU878" s="808"/>
      <c r="OV878" s="808"/>
      <c r="OW878" s="808"/>
      <c r="OX878" s="808"/>
      <c r="OY878" s="808"/>
      <c r="OZ878" s="808"/>
      <c r="PA878" s="808"/>
      <c r="PB878" s="808"/>
      <c r="PC878" s="808"/>
      <c r="PD878" s="808"/>
      <c r="PE878" s="808"/>
      <c r="PF878" s="808"/>
      <c r="PG878" s="808"/>
      <c r="PH878" s="808"/>
      <c r="PI878" s="808"/>
      <c r="PJ878" s="808"/>
      <c r="PK878" s="808"/>
      <c r="PL878" s="808"/>
      <c r="PM878" s="808"/>
      <c r="PN878" s="808"/>
      <c r="PO878" s="808"/>
      <c r="PP878" s="808"/>
      <c r="PQ878" s="808"/>
      <c r="PR878" s="808"/>
      <c r="PS878" s="808"/>
      <c r="PT878" s="808"/>
      <c r="PU878" s="808"/>
      <c r="PV878" s="808"/>
      <c r="PW878" s="808"/>
      <c r="PX878" s="808"/>
      <c r="PY878" s="808"/>
      <c r="PZ878" s="808"/>
      <c r="QA878" s="808"/>
      <c r="QB878" s="808"/>
      <c r="QC878" s="808"/>
      <c r="QD878" s="808"/>
      <c r="QE878" s="808"/>
      <c r="QF878" s="808"/>
      <c r="QG878" s="808"/>
      <c r="QH878" s="808"/>
      <c r="QI878" s="808"/>
      <c r="QJ878" s="808"/>
      <c r="QK878" s="808"/>
      <c r="QL878" s="808"/>
      <c r="QM878" s="808"/>
      <c r="QN878" s="808"/>
      <c r="QO878" s="808"/>
      <c r="QP878" s="808"/>
      <c r="QQ878" s="808"/>
      <c r="QR878" s="808"/>
      <c r="QS878" s="808"/>
      <c r="QT878" s="808"/>
      <c r="QU878" s="808"/>
      <c r="QV878" s="808"/>
      <c r="QW878" s="808"/>
      <c r="QX878" s="808"/>
      <c r="QY878" s="808"/>
      <c r="QZ878" s="808"/>
      <c r="RA878" s="808"/>
      <c r="RB878" s="808"/>
      <c r="RC878" s="808"/>
      <c r="RD878" s="808"/>
      <c r="RE878" s="808"/>
      <c r="RF878" s="808"/>
      <c r="RG878" s="808"/>
      <c r="RH878" s="808"/>
      <c r="RI878" s="808"/>
      <c r="RJ878" s="808"/>
      <c r="RK878" s="808"/>
      <c r="RL878" s="808"/>
      <c r="RM878" s="808"/>
      <c r="RN878" s="808"/>
      <c r="RO878" s="808"/>
      <c r="RP878" s="808"/>
      <c r="RQ878" s="808"/>
      <c r="RR878" s="808"/>
      <c r="RS878" s="808"/>
      <c r="RT878" s="808"/>
      <c r="RU878" s="808"/>
      <c r="RV878" s="808"/>
      <c r="RW878" s="808"/>
      <c r="RX878" s="808"/>
      <c r="RY878" s="808"/>
      <c r="RZ878" s="808"/>
      <c r="SA878" s="808"/>
      <c r="SB878" s="808"/>
      <c r="SC878" s="808"/>
      <c r="SD878" s="808"/>
      <c r="SE878" s="808"/>
      <c r="SF878" s="808"/>
      <c r="SG878" s="808"/>
      <c r="SH878" s="808"/>
      <c r="SI878" s="808"/>
      <c r="SJ878" s="808"/>
      <c r="SK878" s="808"/>
      <c r="SL878" s="808"/>
      <c r="SM878" s="808"/>
      <c r="SN878" s="808"/>
      <c r="SO878" s="808"/>
      <c r="SP878" s="808"/>
      <c r="SQ878" s="808"/>
      <c r="SR878" s="808"/>
      <c r="SS878" s="808"/>
      <c r="ST878" s="808"/>
      <c r="SU878" s="808"/>
      <c r="SV878" s="808"/>
      <c r="SW878" s="808"/>
      <c r="SX878" s="808"/>
      <c r="SY878" s="808"/>
      <c r="SZ878" s="808"/>
      <c r="TA878" s="808"/>
      <c r="TB878" s="808"/>
      <c r="TC878" s="808"/>
      <c r="TD878" s="808"/>
      <c r="TE878" s="808"/>
      <c r="TF878" s="808"/>
      <c r="TG878" s="808"/>
      <c r="TH878" s="808"/>
      <c r="TI878" s="808"/>
      <c r="TJ878" s="808"/>
      <c r="TK878" s="808"/>
      <c r="TL878" s="808"/>
      <c r="TM878" s="808"/>
      <c r="TN878" s="808"/>
      <c r="TO878" s="808"/>
      <c r="TP878" s="808"/>
      <c r="TQ878" s="808"/>
      <c r="TR878" s="808"/>
      <c r="TS878" s="808"/>
      <c r="TT878" s="808"/>
      <c r="TU878" s="808"/>
      <c r="TV878" s="808"/>
      <c r="TW878" s="808"/>
      <c r="TX878" s="808"/>
      <c r="TY878" s="808"/>
      <c r="TZ878" s="808"/>
      <c r="UA878" s="808"/>
      <c r="UB878" s="808"/>
      <c r="UC878" s="808"/>
      <c r="UD878" s="808"/>
      <c r="UE878" s="808"/>
      <c r="UF878" s="808"/>
      <c r="UG878" s="808"/>
      <c r="UH878" s="808"/>
      <c r="UI878" s="808"/>
      <c r="UJ878" s="808"/>
      <c r="UK878" s="808"/>
      <c r="UL878" s="808"/>
      <c r="UM878" s="808"/>
      <c r="UN878" s="808"/>
      <c r="UO878" s="808"/>
      <c r="UP878" s="808"/>
      <c r="UQ878" s="808"/>
      <c r="UR878" s="808"/>
      <c r="US878" s="808"/>
      <c r="UT878" s="808"/>
      <c r="UU878" s="808"/>
      <c r="UV878" s="808"/>
      <c r="UW878" s="808"/>
      <c r="UX878" s="808"/>
      <c r="UY878" s="808"/>
      <c r="UZ878" s="808"/>
      <c r="VA878" s="808"/>
      <c r="VB878" s="808"/>
      <c r="VC878" s="808"/>
      <c r="VD878" s="808"/>
      <c r="VE878" s="808"/>
      <c r="VF878" s="808"/>
      <c r="VG878" s="808"/>
      <c r="VH878" s="808"/>
      <c r="VI878" s="808"/>
      <c r="VJ878" s="808"/>
      <c r="VK878" s="808"/>
      <c r="VL878" s="808"/>
      <c r="VM878" s="808"/>
      <c r="VN878" s="808"/>
      <c r="VO878" s="808"/>
      <c r="VP878" s="808"/>
      <c r="VQ878" s="808"/>
      <c r="VR878" s="808"/>
      <c r="VS878" s="808"/>
      <c r="VT878" s="808"/>
      <c r="VU878" s="808"/>
      <c r="VV878" s="808"/>
      <c r="VW878" s="808"/>
      <c r="VX878" s="808"/>
      <c r="VY878" s="808"/>
      <c r="VZ878" s="808"/>
      <c r="WA878" s="808"/>
      <c r="WB878" s="808"/>
      <c r="WC878" s="808"/>
      <c r="WD878" s="808"/>
      <c r="WE878" s="808"/>
      <c r="WF878" s="808"/>
      <c r="WG878" s="808"/>
      <c r="WH878" s="808"/>
      <c r="WI878" s="808"/>
      <c r="WJ878" s="808"/>
      <c r="WK878" s="808"/>
      <c r="WL878" s="808"/>
      <c r="WM878" s="808"/>
      <c r="WN878" s="808"/>
      <c r="WO878" s="808"/>
      <c r="WP878" s="808"/>
      <c r="WQ878" s="808"/>
      <c r="WR878" s="808"/>
      <c r="WS878" s="808"/>
      <c r="WT878" s="808"/>
      <c r="WU878" s="808"/>
      <c r="WV878" s="808"/>
      <c r="WW878" s="808"/>
      <c r="WX878" s="808"/>
      <c r="WY878" s="808"/>
      <c r="WZ878" s="808"/>
      <c r="XA878" s="808"/>
      <c r="XB878" s="808"/>
      <c r="XC878" s="808"/>
      <c r="XD878" s="808"/>
      <c r="XE878" s="808"/>
      <c r="XF878" s="808"/>
      <c r="XG878" s="808"/>
      <c r="XH878" s="808"/>
      <c r="XI878" s="808"/>
      <c r="XJ878" s="808"/>
      <c r="XK878" s="808"/>
      <c r="XL878" s="808"/>
      <c r="XM878" s="808"/>
      <c r="XN878" s="808"/>
      <c r="XO878" s="808"/>
      <c r="XP878" s="808"/>
      <c r="XQ878" s="808"/>
      <c r="XR878" s="808"/>
      <c r="XS878" s="808"/>
      <c r="XT878" s="808"/>
      <c r="XU878" s="808"/>
      <c r="XV878" s="808"/>
      <c r="XW878" s="808"/>
      <c r="XX878" s="808"/>
      <c r="XY878" s="808"/>
      <c r="XZ878" s="808"/>
      <c r="YA878" s="808"/>
      <c r="YB878" s="808"/>
      <c r="YC878" s="808"/>
      <c r="YD878" s="808"/>
      <c r="YE878" s="808"/>
      <c r="YF878" s="808"/>
      <c r="YG878" s="808"/>
      <c r="YH878" s="808"/>
      <c r="YI878" s="808"/>
      <c r="YJ878" s="808"/>
      <c r="YK878" s="808"/>
      <c r="YL878" s="808"/>
      <c r="YM878" s="808"/>
      <c r="YN878" s="808"/>
      <c r="YO878" s="808"/>
      <c r="YP878" s="808"/>
      <c r="YQ878" s="808"/>
      <c r="YR878" s="808"/>
      <c r="YS878" s="808"/>
      <c r="YT878" s="808"/>
      <c r="YU878" s="808"/>
      <c r="YV878" s="808"/>
      <c r="YW878" s="808"/>
      <c r="YX878" s="808"/>
      <c r="YY878" s="808"/>
      <c r="YZ878" s="808"/>
      <c r="ZA878" s="808"/>
      <c r="ZB878" s="808"/>
      <c r="ZC878" s="808"/>
      <c r="ZD878" s="808"/>
      <c r="ZE878" s="808"/>
      <c r="ZF878" s="808"/>
      <c r="ZG878" s="808"/>
      <c r="ZH878" s="808"/>
      <c r="ZI878" s="808"/>
      <c r="ZJ878" s="808"/>
      <c r="ZK878" s="808"/>
      <c r="ZL878" s="808"/>
      <c r="ZM878" s="808"/>
      <c r="ZN878" s="808"/>
      <c r="ZO878" s="808"/>
      <c r="ZP878" s="808"/>
      <c r="ZQ878" s="808"/>
      <c r="ZR878" s="808"/>
      <c r="ZS878" s="808"/>
      <c r="ZT878" s="808"/>
      <c r="ZU878" s="808"/>
      <c r="ZV878" s="808"/>
      <c r="ZW878" s="808"/>
      <c r="ZX878" s="808"/>
      <c r="ZY878" s="808"/>
      <c r="ZZ878" s="808"/>
      <c r="AAA878" s="808"/>
      <c r="AAB878" s="808"/>
      <c r="AAC878" s="808"/>
      <c r="AAD878" s="808"/>
      <c r="AAE878" s="808"/>
      <c r="AAF878" s="808"/>
      <c r="AAG878" s="808"/>
      <c r="AAH878" s="808"/>
      <c r="AAI878" s="808"/>
      <c r="AAJ878" s="808"/>
      <c r="AAK878" s="808"/>
      <c r="AAL878" s="808"/>
      <c r="AAM878" s="808"/>
      <c r="AAN878" s="808"/>
      <c r="AAO878" s="808"/>
      <c r="AAP878" s="808"/>
      <c r="AAQ878" s="808"/>
      <c r="AAR878" s="808"/>
      <c r="AAS878" s="808"/>
      <c r="AAT878" s="808"/>
      <c r="AAU878" s="808"/>
      <c r="AAV878" s="808"/>
      <c r="AAW878" s="808"/>
      <c r="AAX878" s="808"/>
      <c r="AAY878" s="808"/>
      <c r="AAZ878" s="808"/>
      <c r="ABA878" s="808"/>
      <c r="ABB878" s="808"/>
      <c r="ABC878" s="808"/>
      <c r="ABD878" s="808"/>
      <c r="ABE878" s="808"/>
      <c r="ABF878" s="808"/>
      <c r="ABG878" s="808"/>
      <c r="ABH878" s="808"/>
      <c r="ABI878" s="808"/>
      <c r="ABJ878" s="808"/>
      <c r="ABK878" s="808"/>
      <c r="ABL878" s="808"/>
      <c r="ABM878" s="808"/>
      <c r="ABN878" s="808"/>
      <c r="ABO878" s="808"/>
      <c r="ABP878" s="808"/>
      <c r="ABQ878" s="808"/>
      <c r="ABR878" s="808"/>
      <c r="ABS878" s="808"/>
      <c r="ABT878" s="808"/>
      <c r="ABU878" s="808"/>
      <c r="ABV878" s="808"/>
      <c r="ABW878" s="808"/>
      <c r="ABX878" s="808"/>
      <c r="ABY878" s="808"/>
      <c r="ABZ878" s="808"/>
      <c r="ACA878" s="808"/>
      <c r="ACB878" s="808"/>
      <c r="ACC878" s="808"/>
      <c r="ACD878" s="808"/>
      <c r="ACE878" s="808"/>
      <c r="ACF878" s="808"/>
      <c r="ACG878" s="808"/>
      <c r="ACH878" s="808"/>
      <c r="ACI878" s="808"/>
      <c r="ACJ878" s="808"/>
      <c r="ACK878" s="808"/>
      <c r="ACL878" s="808"/>
      <c r="ACM878" s="808"/>
      <c r="ACN878" s="808"/>
      <c r="ACO878" s="808"/>
      <c r="ACP878" s="808"/>
      <c r="ACQ878" s="808"/>
      <c r="ACR878" s="808"/>
      <c r="ACS878" s="808"/>
      <c r="ACT878" s="808"/>
      <c r="ACU878" s="808"/>
      <c r="ACV878" s="808"/>
      <c r="ACW878" s="808"/>
      <c r="ACX878" s="808"/>
      <c r="ACY878" s="808"/>
      <c r="ACZ878" s="808"/>
      <c r="ADA878" s="808"/>
      <c r="ADB878" s="808"/>
      <c r="ADC878" s="808"/>
      <c r="ADD878" s="808"/>
      <c r="ADE878" s="808"/>
      <c r="ADF878" s="808"/>
      <c r="ADG878" s="808"/>
      <c r="ADH878" s="808"/>
      <c r="ADI878" s="808"/>
      <c r="ADJ878" s="808"/>
      <c r="ADK878" s="808"/>
      <c r="ADL878" s="808"/>
      <c r="ADM878" s="808"/>
      <c r="ADN878" s="808"/>
      <c r="ADO878" s="808"/>
      <c r="ADP878" s="808"/>
      <c r="ADQ878" s="808"/>
      <c r="ADR878" s="808"/>
      <c r="ADS878" s="808"/>
      <c r="ADT878" s="808"/>
      <c r="ADU878" s="808"/>
      <c r="ADV878" s="808"/>
      <c r="ADW878" s="808"/>
      <c r="ADX878" s="808"/>
      <c r="ADY878" s="808"/>
      <c r="ADZ878" s="808"/>
      <c r="AEA878" s="808"/>
      <c r="AEB878" s="808"/>
      <c r="AEC878" s="808"/>
      <c r="AED878" s="808"/>
      <c r="AEE878" s="808"/>
      <c r="AEF878" s="808"/>
      <c r="AEG878" s="808"/>
      <c r="AEH878" s="808"/>
      <c r="AEI878" s="808"/>
      <c r="AEJ878" s="808"/>
      <c r="AEK878" s="808"/>
      <c r="AEL878" s="808"/>
      <c r="AEM878" s="808"/>
      <c r="AEN878" s="808"/>
      <c r="AEO878" s="808"/>
      <c r="AEP878" s="808"/>
      <c r="AEQ878" s="808"/>
      <c r="AER878" s="808"/>
      <c r="AES878" s="808"/>
      <c r="AET878" s="808"/>
      <c r="AEU878" s="808"/>
      <c r="AEV878" s="808"/>
      <c r="AEW878" s="808"/>
      <c r="AEX878" s="808"/>
      <c r="AEY878" s="808"/>
      <c r="AEZ878" s="808"/>
      <c r="AFA878" s="808"/>
      <c r="AFB878" s="808"/>
      <c r="AFC878" s="808"/>
      <c r="AFD878" s="808"/>
      <c r="AFE878" s="808"/>
      <c r="AFF878" s="808"/>
      <c r="AFG878" s="808"/>
      <c r="AFH878" s="808"/>
      <c r="AFI878" s="808"/>
      <c r="AFJ878" s="808"/>
      <c r="AFK878" s="808"/>
      <c r="AFL878" s="808"/>
      <c r="AFM878" s="808"/>
      <c r="AFN878" s="808"/>
      <c r="AFO878" s="808"/>
      <c r="AFP878" s="808"/>
      <c r="AFQ878" s="808"/>
      <c r="AFR878" s="808"/>
      <c r="AFS878" s="808"/>
      <c r="AFT878" s="808"/>
      <c r="AFU878" s="808"/>
      <c r="AFV878" s="808"/>
      <c r="AFW878" s="808"/>
      <c r="AFX878" s="808"/>
      <c r="AFY878" s="808"/>
      <c r="AFZ878" s="808"/>
      <c r="AGA878" s="808"/>
      <c r="AGB878" s="808"/>
      <c r="AGC878" s="808"/>
      <c r="AGD878" s="808"/>
      <c r="AGE878" s="808"/>
      <c r="AGF878" s="808"/>
      <c r="AGG878" s="808"/>
      <c r="AGH878" s="808"/>
      <c r="AGI878" s="808"/>
      <c r="AGJ878" s="808"/>
    </row>
    <row r="879" spans="1:868" s="7" customFormat="1" hidden="1">
      <c r="A879" s="609" t="s">
        <v>118</v>
      </c>
      <c r="B879" s="59" t="s">
        <v>431</v>
      </c>
      <c r="C879" s="40" t="s">
        <v>139</v>
      </c>
      <c r="D879" s="34" t="s">
        <v>99</v>
      </c>
      <c r="E879" s="859">
        <v>7.1003816455134469E-2</v>
      </c>
      <c r="F879" s="34">
        <v>2</v>
      </c>
      <c r="G879" s="40" t="s">
        <v>429</v>
      </c>
      <c r="H879" s="29">
        <v>1</v>
      </c>
      <c r="I879" s="9">
        <v>2</v>
      </c>
      <c r="J879" s="9">
        <v>2</v>
      </c>
      <c r="K879" s="9">
        <v>1</v>
      </c>
      <c r="L879" s="9">
        <v>1</v>
      </c>
      <c r="M879" s="9">
        <v>2</v>
      </c>
      <c r="N879" s="185">
        <f t="shared" ref="N879:N910" si="66">IF( OR( ISBLANK(H879),ISBLANK(J879), ISBLANK(K879), ISBLANK(L879), ISBLANK(M879) ), "", 1.5*SQRT(   EXP(2.21*(H879-1)) + EXP(2.21*(J879-1)) + EXP(2.21*(K879-1)) + EXP(2.21*(L879-1)) + EXP(2.21*M879)   )/100*2.45 )</f>
        <v>0.35859414261160716</v>
      </c>
      <c r="O879" s="159">
        <f t="shared" si="65"/>
        <v>0.37356464144298934</v>
      </c>
      <c r="P879" s="63"/>
      <c r="Q879" s="808"/>
      <c r="R879" s="808"/>
      <c r="S879" s="808"/>
      <c r="T879" s="808"/>
      <c r="U879" s="808"/>
      <c r="V879" s="808"/>
      <c r="W879" s="808"/>
      <c r="X879" s="808"/>
      <c r="Y879" s="808"/>
      <c r="Z879" s="808"/>
      <c r="AA879" s="808"/>
      <c r="AB879" s="808"/>
      <c r="AC879" s="808"/>
      <c r="AD879" s="808"/>
      <c r="AE879" s="808"/>
      <c r="AF879" s="808"/>
      <c r="AG879" s="808"/>
      <c r="AH879" s="808"/>
      <c r="AI879" s="808"/>
      <c r="AJ879" s="808"/>
      <c r="AK879" s="808"/>
      <c r="AL879" s="808"/>
      <c r="AM879" s="808"/>
      <c r="AN879" s="808"/>
      <c r="AO879" s="808"/>
      <c r="AP879" s="808"/>
      <c r="AQ879" s="808"/>
      <c r="AR879" s="808"/>
      <c r="AS879" s="808"/>
      <c r="AT879" s="808"/>
      <c r="AU879" s="808"/>
      <c r="AV879" s="808"/>
      <c r="AW879" s="808"/>
      <c r="AX879" s="808"/>
      <c r="AY879" s="808"/>
      <c r="AZ879" s="808"/>
      <c r="BA879" s="808"/>
      <c r="BB879" s="808"/>
      <c r="BC879" s="808"/>
      <c r="BD879" s="808"/>
      <c r="BE879" s="808"/>
      <c r="BF879" s="808"/>
      <c r="BG879" s="808"/>
      <c r="BH879" s="808"/>
      <c r="BI879" s="808"/>
      <c r="BJ879" s="808"/>
      <c r="BK879" s="808"/>
      <c r="BL879" s="808"/>
      <c r="BM879" s="808"/>
      <c r="BN879" s="808"/>
      <c r="BO879" s="808"/>
      <c r="BP879" s="808"/>
      <c r="BQ879" s="808"/>
      <c r="BR879" s="808"/>
      <c r="BS879" s="808"/>
      <c r="BT879" s="808"/>
      <c r="BU879" s="808"/>
      <c r="BV879" s="808"/>
      <c r="BW879" s="808"/>
      <c r="BX879" s="808"/>
      <c r="BY879" s="808"/>
      <c r="BZ879" s="808"/>
      <c r="CA879" s="808"/>
      <c r="CB879" s="808"/>
      <c r="CC879" s="808"/>
      <c r="CD879" s="808"/>
      <c r="CE879" s="808"/>
      <c r="CF879" s="808"/>
      <c r="CG879" s="808"/>
      <c r="CH879" s="808"/>
      <c r="CI879" s="808"/>
      <c r="CJ879" s="808"/>
      <c r="CK879" s="808"/>
      <c r="CL879" s="808"/>
      <c r="CM879" s="808"/>
      <c r="CN879" s="808"/>
      <c r="CO879" s="808"/>
      <c r="CP879" s="808"/>
      <c r="CQ879" s="808"/>
      <c r="CR879" s="808"/>
      <c r="CS879" s="808"/>
      <c r="CT879" s="808"/>
      <c r="CU879" s="808"/>
      <c r="CV879" s="808"/>
      <c r="CW879" s="808"/>
      <c r="CX879" s="808"/>
      <c r="CY879" s="808"/>
      <c r="CZ879" s="808"/>
      <c r="DA879" s="808"/>
      <c r="DB879" s="808"/>
      <c r="DC879" s="808"/>
      <c r="DD879" s="808"/>
      <c r="DE879" s="808"/>
      <c r="DF879" s="808"/>
      <c r="DG879" s="808"/>
      <c r="DH879" s="808"/>
      <c r="DI879" s="808"/>
      <c r="DJ879" s="808"/>
      <c r="DK879" s="808"/>
      <c r="DL879" s="808"/>
      <c r="DM879" s="808"/>
      <c r="DN879" s="808"/>
      <c r="DO879" s="808"/>
      <c r="DP879" s="808"/>
      <c r="DQ879" s="808"/>
      <c r="DR879" s="808"/>
      <c r="DS879" s="808"/>
      <c r="DT879" s="808"/>
      <c r="DU879" s="808"/>
      <c r="DV879" s="808"/>
      <c r="DW879" s="808"/>
      <c r="DX879" s="808"/>
      <c r="DY879" s="808"/>
      <c r="DZ879" s="808"/>
      <c r="EA879" s="808"/>
      <c r="EB879" s="808"/>
      <c r="EC879" s="808"/>
      <c r="ED879" s="808"/>
      <c r="EE879" s="808"/>
      <c r="EF879" s="808"/>
      <c r="EG879" s="808"/>
      <c r="EH879" s="808"/>
      <c r="EI879" s="808"/>
      <c r="EJ879" s="808"/>
      <c r="EK879" s="808"/>
      <c r="EL879" s="808"/>
      <c r="EM879" s="808"/>
      <c r="EN879" s="808"/>
      <c r="EO879" s="808"/>
      <c r="EP879" s="808"/>
      <c r="EQ879" s="808"/>
      <c r="ER879" s="808"/>
      <c r="ES879" s="808"/>
      <c r="ET879" s="808"/>
      <c r="EU879" s="808"/>
      <c r="EV879" s="808"/>
      <c r="EW879" s="808"/>
      <c r="EX879" s="808"/>
      <c r="EY879" s="808"/>
      <c r="EZ879" s="808"/>
      <c r="FA879" s="808"/>
      <c r="FB879" s="808"/>
      <c r="FC879" s="808"/>
      <c r="FD879" s="808"/>
      <c r="FE879" s="808"/>
      <c r="FF879" s="808"/>
      <c r="FG879" s="808"/>
      <c r="FH879" s="808"/>
      <c r="FI879" s="808"/>
      <c r="FJ879" s="808"/>
      <c r="FK879" s="808"/>
      <c r="FL879" s="808"/>
      <c r="FM879" s="808"/>
      <c r="FN879" s="808"/>
      <c r="FO879" s="808"/>
      <c r="FP879" s="808"/>
      <c r="FQ879" s="808"/>
      <c r="FR879" s="808"/>
      <c r="FS879" s="808"/>
      <c r="FT879" s="808"/>
      <c r="FU879" s="808"/>
      <c r="FV879" s="808"/>
      <c r="FW879" s="808"/>
      <c r="FX879" s="808"/>
      <c r="FY879" s="808"/>
      <c r="FZ879" s="808"/>
      <c r="GA879" s="808"/>
      <c r="GB879" s="808"/>
      <c r="GC879" s="808"/>
      <c r="GD879" s="808"/>
      <c r="GE879" s="808"/>
      <c r="GF879" s="808"/>
      <c r="GG879" s="808"/>
      <c r="GH879" s="808"/>
      <c r="GI879" s="808"/>
      <c r="GJ879" s="808"/>
      <c r="GK879" s="808"/>
      <c r="GL879" s="808"/>
      <c r="GM879" s="808"/>
      <c r="GN879" s="808"/>
      <c r="GO879" s="808"/>
      <c r="GP879" s="808"/>
      <c r="GQ879" s="808"/>
      <c r="GR879" s="808"/>
      <c r="GS879" s="808"/>
      <c r="GT879" s="808"/>
      <c r="GU879" s="808"/>
      <c r="GV879" s="808"/>
      <c r="GW879" s="808"/>
      <c r="GX879" s="808"/>
      <c r="GY879" s="808"/>
      <c r="GZ879" s="808"/>
      <c r="HA879" s="808"/>
      <c r="HB879" s="808"/>
      <c r="HC879" s="808"/>
      <c r="HD879" s="808"/>
      <c r="HE879" s="808"/>
      <c r="HF879" s="808"/>
      <c r="HG879" s="808"/>
      <c r="HH879" s="808"/>
      <c r="HI879" s="808"/>
      <c r="HJ879" s="808"/>
      <c r="HK879" s="808"/>
      <c r="HL879" s="808"/>
      <c r="HM879" s="808"/>
      <c r="HN879" s="808"/>
      <c r="HO879" s="808"/>
      <c r="HP879" s="808"/>
      <c r="HQ879" s="808"/>
      <c r="HR879" s="808"/>
      <c r="HS879" s="808"/>
      <c r="HT879" s="808"/>
      <c r="HU879" s="808"/>
      <c r="HV879" s="808"/>
      <c r="HW879" s="808"/>
      <c r="HX879" s="808"/>
      <c r="HY879" s="808"/>
      <c r="HZ879" s="808"/>
      <c r="IA879" s="808"/>
      <c r="IB879" s="808"/>
      <c r="IC879" s="808"/>
      <c r="ID879" s="808"/>
      <c r="IE879" s="808"/>
      <c r="IF879" s="808"/>
      <c r="IG879" s="808"/>
      <c r="IH879" s="808"/>
      <c r="II879" s="808"/>
      <c r="IJ879" s="808"/>
      <c r="IK879" s="808"/>
      <c r="IL879" s="808"/>
      <c r="IM879" s="808"/>
      <c r="IN879" s="808"/>
      <c r="IO879" s="808"/>
      <c r="IP879" s="808"/>
      <c r="IQ879" s="808"/>
      <c r="IR879" s="808"/>
      <c r="IS879" s="808"/>
      <c r="IT879" s="808"/>
      <c r="IU879" s="808"/>
      <c r="IV879" s="808"/>
      <c r="IW879" s="808"/>
      <c r="IX879" s="808"/>
      <c r="IY879" s="808"/>
      <c r="IZ879" s="808"/>
      <c r="JA879" s="808"/>
      <c r="JB879" s="808"/>
      <c r="JC879" s="808"/>
      <c r="JD879" s="808"/>
      <c r="JE879" s="808"/>
      <c r="JF879" s="808"/>
      <c r="JG879" s="808"/>
      <c r="JH879" s="808"/>
      <c r="JI879" s="808"/>
      <c r="JJ879" s="808"/>
      <c r="JK879" s="808"/>
      <c r="JL879" s="808"/>
      <c r="JM879" s="808"/>
      <c r="JN879" s="808"/>
      <c r="JO879" s="808"/>
      <c r="JP879" s="808"/>
      <c r="JQ879" s="808"/>
      <c r="JR879" s="808"/>
      <c r="JS879" s="808"/>
      <c r="JT879" s="808"/>
      <c r="JU879" s="808"/>
      <c r="JV879" s="808"/>
      <c r="JW879" s="808"/>
      <c r="JX879" s="808"/>
      <c r="JY879" s="808"/>
      <c r="JZ879" s="808"/>
      <c r="KA879" s="808"/>
      <c r="KB879" s="808"/>
      <c r="KC879" s="808"/>
      <c r="KD879" s="808"/>
      <c r="KE879" s="808"/>
      <c r="KF879" s="808"/>
      <c r="KG879" s="808"/>
      <c r="KH879" s="808"/>
      <c r="KI879" s="808"/>
      <c r="KJ879" s="808"/>
      <c r="KK879" s="808"/>
      <c r="KL879" s="808"/>
      <c r="KM879" s="808"/>
      <c r="KN879" s="808"/>
      <c r="KO879" s="808"/>
      <c r="KP879" s="808"/>
      <c r="KQ879" s="808"/>
      <c r="KR879" s="808"/>
      <c r="KS879" s="808"/>
      <c r="KT879" s="808"/>
      <c r="KU879" s="808"/>
      <c r="KV879" s="808"/>
      <c r="KW879" s="808"/>
      <c r="KX879" s="808"/>
      <c r="KY879" s="808"/>
      <c r="KZ879" s="808"/>
      <c r="LA879" s="808"/>
      <c r="LB879" s="808"/>
      <c r="LC879" s="808"/>
      <c r="LD879" s="808"/>
      <c r="LE879" s="808"/>
      <c r="LF879" s="808"/>
      <c r="LG879" s="808"/>
      <c r="LH879" s="808"/>
      <c r="LI879" s="808"/>
      <c r="LJ879" s="808"/>
      <c r="LK879" s="808"/>
      <c r="LL879" s="808"/>
      <c r="LM879" s="808"/>
      <c r="LN879" s="808"/>
      <c r="LO879" s="808"/>
      <c r="LP879" s="808"/>
      <c r="LQ879" s="808"/>
      <c r="LR879" s="808"/>
      <c r="LS879" s="808"/>
      <c r="LT879" s="808"/>
      <c r="LU879" s="808"/>
      <c r="LV879" s="808"/>
      <c r="LW879" s="808"/>
      <c r="LX879" s="808"/>
      <c r="LY879" s="808"/>
      <c r="LZ879" s="808"/>
      <c r="MA879" s="808"/>
      <c r="MB879" s="808"/>
      <c r="MC879" s="808"/>
      <c r="MD879" s="808"/>
      <c r="ME879" s="808"/>
      <c r="MF879" s="808"/>
      <c r="MG879" s="808"/>
      <c r="MH879" s="808"/>
      <c r="MI879" s="808"/>
      <c r="MJ879" s="808"/>
      <c r="MK879" s="808"/>
      <c r="ML879" s="808"/>
      <c r="MM879" s="808"/>
      <c r="MN879" s="808"/>
      <c r="MO879" s="808"/>
      <c r="MP879" s="808"/>
      <c r="MQ879" s="808"/>
      <c r="MR879" s="808"/>
      <c r="MS879" s="808"/>
      <c r="MT879" s="808"/>
      <c r="MU879" s="808"/>
      <c r="MV879" s="808"/>
      <c r="MW879" s="808"/>
      <c r="MX879" s="808"/>
      <c r="MY879" s="808"/>
      <c r="MZ879" s="808"/>
      <c r="NA879" s="808"/>
      <c r="NB879" s="808"/>
      <c r="NC879" s="808"/>
      <c r="ND879" s="808"/>
      <c r="NE879" s="808"/>
      <c r="NF879" s="808"/>
      <c r="NG879" s="808"/>
      <c r="NH879" s="808"/>
      <c r="NI879" s="808"/>
      <c r="NJ879" s="808"/>
      <c r="NK879" s="808"/>
      <c r="NL879" s="808"/>
      <c r="NM879" s="808"/>
      <c r="NN879" s="808"/>
      <c r="NO879" s="808"/>
      <c r="NP879" s="808"/>
      <c r="NQ879" s="808"/>
      <c r="NR879" s="808"/>
      <c r="NS879" s="808"/>
      <c r="NT879" s="808"/>
      <c r="NU879" s="808"/>
      <c r="NV879" s="808"/>
      <c r="NW879" s="808"/>
      <c r="NX879" s="808"/>
      <c r="NY879" s="808"/>
      <c r="NZ879" s="808"/>
      <c r="OA879" s="808"/>
      <c r="OB879" s="808"/>
      <c r="OC879" s="808"/>
      <c r="OD879" s="808"/>
      <c r="OE879" s="808"/>
      <c r="OF879" s="808"/>
      <c r="OG879" s="808"/>
      <c r="OH879" s="808"/>
      <c r="OI879" s="808"/>
      <c r="OJ879" s="808"/>
      <c r="OK879" s="808"/>
      <c r="OL879" s="808"/>
      <c r="OM879" s="808"/>
      <c r="ON879" s="808"/>
      <c r="OO879" s="808"/>
      <c r="OP879" s="808"/>
      <c r="OQ879" s="808"/>
      <c r="OR879" s="808"/>
      <c r="OS879" s="808"/>
      <c r="OT879" s="808"/>
      <c r="OU879" s="808"/>
      <c r="OV879" s="808"/>
      <c r="OW879" s="808"/>
      <c r="OX879" s="808"/>
      <c r="OY879" s="808"/>
      <c r="OZ879" s="808"/>
      <c r="PA879" s="808"/>
      <c r="PB879" s="808"/>
      <c r="PC879" s="808"/>
      <c r="PD879" s="808"/>
      <c r="PE879" s="808"/>
      <c r="PF879" s="808"/>
      <c r="PG879" s="808"/>
      <c r="PH879" s="808"/>
      <c r="PI879" s="808"/>
      <c r="PJ879" s="808"/>
      <c r="PK879" s="808"/>
      <c r="PL879" s="808"/>
      <c r="PM879" s="808"/>
      <c r="PN879" s="808"/>
      <c r="PO879" s="808"/>
      <c r="PP879" s="808"/>
      <c r="PQ879" s="808"/>
      <c r="PR879" s="808"/>
      <c r="PS879" s="808"/>
      <c r="PT879" s="808"/>
      <c r="PU879" s="808"/>
      <c r="PV879" s="808"/>
      <c r="PW879" s="808"/>
      <c r="PX879" s="808"/>
      <c r="PY879" s="808"/>
      <c r="PZ879" s="808"/>
      <c r="QA879" s="808"/>
      <c r="QB879" s="808"/>
      <c r="QC879" s="808"/>
      <c r="QD879" s="808"/>
      <c r="QE879" s="808"/>
      <c r="QF879" s="808"/>
      <c r="QG879" s="808"/>
      <c r="QH879" s="808"/>
      <c r="QI879" s="808"/>
      <c r="QJ879" s="808"/>
      <c r="QK879" s="808"/>
      <c r="QL879" s="808"/>
      <c r="QM879" s="808"/>
      <c r="QN879" s="808"/>
      <c r="QO879" s="808"/>
      <c r="QP879" s="808"/>
      <c r="QQ879" s="808"/>
      <c r="QR879" s="808"/>
      <c r="QS879" s="808"/>
      <c r="QT879" s="808"/>
      <c r="QU879" s="808"/>
      <c r="QV879" s="808"/>
      <c r="QW879" s="808"/>
      <c r="QX879" s="808"/>
      <c r="QY879" s="808"/>
      <c r="QZ879" s="808"/>
      <c r="RA879" s="808"/>
      <c r="RB879" s="808"/>
      <c r="RC879" s="808"/>
      <c r="RD879" s="808"/>
      <c r="RE879" s="808"/>
      <c r="RF879" s="808"/>
      <c r="RG879" s="808"/>
      <c r="RH879" s="808"/>
      <c r="RI879" s="808"/>
      <c r="RJ879" s="808"/>
      <c r="RK879" s="808"/>
      <c r="RL879" s="808"/>
      <c r="RM879" s="808"/>
      <c r="RN879" s="808"/>
      <c r="RO879" s="808"/>
      <c r="RP879" s="808"/>
      <c r="RQ879" s="808"/>
      <c r="RR879" s="808"/>
      <c r="RS879" s="808"/>
      <c r="RT879" s="808"/>
      <c r="RU879" s="808"/>
      <c r="RV879" s="808"/>
      <c r="RW879" s="808"/>
      <c r="RX879" s="808"/>
      <c r="RY879" s="808"/>
      <c r="RZ879" s="808"/>
      <c r="SA879" s="808"/>
      <c r="SB879" s="808"/>
      <c r="SC879" s="808"/>
      <c r="SD879" s="808"/>
      <c r="SE879" s="808"/>
      <c r="SF879" s="808"/>
      <c r="SG879" s="808"/>
      <c r="SH879" s="808"/>
      <c r="SI879" s="808"/>
      <c r="SJ879" s="808"/>
      <c r="SK879" s="808"/>
      <c r="SL879" s="808"/>
      <c r="SM879" s="808"/>
      <c r="SN879" s="808"/>
      <c r="SO879" s="808"/>
      <c r="SP879" s="808"/>
      <c r="SQ879" s="808"/>
      <c r="SR879" s="808"/>
      <c r="SS879" s="808"/>
      <c r="ST879" s="808"/>
      <c r="SU879" s="808"/>
      <c r="SV879" s="808"/>
      <c r="SW879" s="808"/>
      <c r="SX879" s="808"/>
      <c r="SY879" s="808"/>
      <c r="SZ879" s="808"/>
      <c r="TA879" s="808"/>
      <c r="TB879" s="808"/>
      <c r="TC879" s="808"/>
      <c r="TD879" s="808"/>
      <c r="TE879" s="808"/>
      <c r="TF879" s="808"/>
      <c r="TG879" s="808"/>
      <c r="TH879" s="808"/>
      <c r="TI879" s="808"/>
      <c r="TJ879" s="808"/>
      <c r="TK879" s="808"/>
      <c r="TL879" s="808"/>
      <c r="TM879" s="808"/>
      <c r="TN879" s="808"/>
      <c r="TO879" s="808"/>
      <c r="TP879" s="808"/>
      <c r="TQ879" s="808"/>
      <c r="TR879" s="808"/>
      <c r="TS879" s="808"/>
      <c r="TT879" s="808"/>
      <c r="TU879" s="808"/>
      <c r="TV879" s="808"/>
      <c r="TW879" s="808"/>
      <c r="TX879" s="808"/>
      <c r="TY879" s="808"/>
      <c r="TZ879" s="808"/>
      <c r="UA879" s="808"/>
      <c r="UB879" s="808"/>
      <c r="UC879" s="808"/>
      <c r="UD879" s="808"/>
      <c r="UE879" s="808"/>
      <c r="UF879" s="808"/>
      <c r="UG879" s="808"/>
      <c r="UH879" s="808"/>
      <c r="UI879" s="808"/>
      <c r="UJ879" s="808"/>
      <c r="UK879" s="808"/>
      <c r="UL879" s="808"/>
      <c r="UM879" s="808"/>
      <c r="UN879" s="808"/>
      <c r="UO879" s="808"/>
      <c r="UP879" s="808"/>
      <c r="UQ879" s="808"/>
      <c r="UR879" s="808"/>
      <c r="US879" s="808"/>
      <c r="UT879" s="808"/>
      <c r="UU879" s="808"/>
      <c r="UV879" s="808"/>
      <c r="UW879" s="808"/>
      <c r="UX879" s="808"/>
      <c r="UY879" s="808"/>
      <c r="UZ879" s="808"/>
      <c r="VA879" s="808"/>
      <c r="VB879" s="808"/>
      <c r="VC879" s="808"/>
      <c r="VD879" s="808"/>
      <c r="VE879" s="808"/>
      <c r="VF879" s="808"/>
      <c r="VG879" s="808"/>
      <c r="VH879" s="808"/>
      <c r="VI879" s="808"/>
      <c r="VJ879" s="808"/>
      <c r="VK879" s="808"/>
      <c r="VL879" s="808"/>
      <c r="VM879" s="808"/>
      <c r="VN879" s="808"/>
      <c r="VO879" s="808"/>
      <c r="VP879" s="808"/>
      <c r="VQ879" s="808"/>
      <c r="VR879" s="808"/>
      <c r="VS879" s="808"/>
      <c r="VT879" s="808"/>
      <c r="VU879" s="808"/>
      <c r="VV879" s="808"/>
      <c r="VW879" s="808"/>
      <c r="VX879" s="808"/>
      <c r="VY879" s="808"/>
      <c r="VZ879" s="808"/>
      <c r="WA879" s="808"/>
      <c r="WB879" s="808"/>
      <c r="WC879" s="808"/>
      <c r="WD879" s="808"/>
      <c r="WE879" s="808"/>
      <c r="WF879" s="808"/>
      <c r="WG879" s="808"/>
      <c r="WH879" s="808"/>
      <c r="WI879" s="808"/>
      <c r="WJ879" s="808"/>
      <c r="WK879" s="808"/>
      <c r="WL879" s="808"/>
      <c r="WM879" s="808"/>
      <c r="WN879" s="808"/>
      <c r="WO879" s="808"/>
      <c r="WP879" s="808"/>
      <c r="WQ879" s="808"/>
      <c r="WR879" s="808"/>
      <c r="WS879" s="808"/>
      <c r="WT879" s="808"/>
      <c r="WU879" s="808"/>
      <c r="WV879" s="808"/>
      <c r="WW879" s="808"/>
      <c r="WX879" s="808"/>
      <c r="WY879" s="808"/>
      <c r="WZ879" s="808"/>
      <c r="XA879" s="808"/>
      <c r="XB879" s="808"/>
      <c r="XC879" s="808"/>
      <c r="XD879" s="808"/>
      <c r="XE879" s="808"/>
      <c r="XF879" s="808"/>
      <c r="XG879" s="808"/>
      <c r="XH879" s="808"/>
      <c r="XI879" s="808"/>
      <c r="XJ879" s="808"/>
      <c r="XK879" s="808"/>
      <c r="XL879" s="808"/>
      <c r="XM879" s="808"/>
      <c r="XN879" s="808"/>
      <c r="XO879" s="808"/>
      <c r="XP879" s="808"/>
      <c r="XQ879" s="808"/>
      <c r="XR879" s="808"/>
      <c r="XS879" s="808"/>
      <c r="XT879" s="808"/>
      <c r="XU879" s="808"/>
      <c r="XV879" s="808"/>
      <c r="XW879" s="808"/>
      <c r="XX879" s="808"/>
      <c r="XY879" s="808"/>
      <c r="XZ879" s="808"/>
      <c r="YA879" s="808"/>
      <c r="YB879" s="808"/>
      <c r="YC879" s="808"/>
      <c r="YD879" s="808"/>
      <c r="YE879" s="808"/>
      <c r="YF879" s="808"/>
      <c r="YG879" s="808"/>
      <c r="YH879" s="808"/>
      <c r="YI879" s="808"/>
      <c r="YJ879" s="808"/>
      <c r="YK879" s="808"/>
      <c r="YL879" s="808"/>
      <c r="YM879" s="808"/>
      <c r="YN879" s="808"/>
      <c r="YO879" s="808"/>
      <c r="YP879" s="808"/>
      <c r="YQ879" s="808"/>
      <c r="YR879" s="808"/>
      <c r="YS879" s="808"/>
      <c r="YT879" s="808"/>
      <c r="YU879" s="808"/>
      <c r="YV879" s="808"/>
      <c r="YW879" s="808"/>
      <c r="YX879" s="808"/>
      <c r="YY879" s="808"/>
      <c r="YZ879" s="808"/>
      <c r="ZA879" s="808"/>
      <c r="ZB879" s="808"/>
      <c r="ZC879" s="808"/>
      <c r="ZD879" s="808"/>
      <c r="ZE879" s="808"/>
      <c r="ZF879" s="808"/>
      <c r="ZG879" s="808"/>
      <c r="ZH879" s="808"/>
      <c r="ZI879" s="808"/>
      <c r="ZJ879" s="808"/>
      <c r="ZK879" s="808"/>
      <c r="ZL879" s="808"/>
      <c r="ZM879" s="808"/>
      <c r="ZN879" s="808"/>
      <c r="ZO879" s="808"/>
      <c r="ZP879" s="808"/>
      <c r="ZQ879" s="808"/>
      <c r="ZR879" s="808"/>
      <c r="ZS879" s="808"/>
      <c r="ZT879" s="808"/>
      <c r="ZU879" s="808"/>
      <c r="ZV879" s="808"/>
      <c r="ZW879" s="808"/>
      <c r="ZX879" s="808"/>
      <c r="ZY879" s="808"/>
      <c r="ZZ879" s="808"/>
      <c r="AAA879" s="808"/>
      <c r="AAB879" s="808"/>
      <c r="AAC879" s="808"/>
      <c r="AAD879" s="808"/>
      <c r="AAE879" s="808"/>
      <c r="AAF879" s="808"/>
      <c r="AAG879" s="808"/>
      <c r="AAH879" s="808"/>
      <c r="AAI879" s="808"/>
      <c r="AAJ879" s="808"/>
      <c r="AAK879" s="808"/>
      <c r="AAL879" s="808"/>
      <c r="AAM879" s="808"/>
      <c r="AAN879" s="808"/>
      <c r="AAO879" s="808"/>
      <c r="AAP879" s="808"/>
      <c r="AAQ879" s="808"/>
      <c r="AAR879" s="808"/>
      <c r="AAS879" s="808"/>
      <c r="AAT879" s="808"/>
      <c r="AAU879" s="808"/>
      <c r="AAV879" s="808"/>
      <c r="AAW879" s="808"/>
      <c r="AAX879" s="808"/>
      <c r="AAY879" s="808"/>
      <c r="AAZ879" s="808"/>
      <c r="ABA879" s="808"/>
      <c r="ABB879" s="808"/>
      <c r="ABC879" s="808"/>
      <c r="ABD879" s="808"/>
      <c r="ABE879" s="808"/>
      <c r="ABF879" s="808"/>
      <c r="ABG879" s="808"/>
      <c r="ABH879" s="808"/>
      <c r="ABI879" s="808"/>
      <c r="ABJ879" s="808"/>
      <c r="ABK879" s="808"/>
      <c r="ABL879" s="808"/>
      <c r="ABM879" s="808"/>
      <c r="ABN879" s="808"/>
      <c r="ABO879" s="808"/>
      <c r="ABP879" s="808"/>
      <c r="ABQ879" s="808"/>
      <c r="ABR879" s="808"/>
      <c r="ABS879" s="808"/>
      <c r="ABT879" s="808"/>
      <c r="ABU879" s="808"/>
      <c r="ABV879" s="808"/>
      <c r="ABW879" s="808"/>
      <c r="ABX879" s="808"/>
      <c r="ABY879" s="808"/>
      <c r="ABZ879" s="808"/>
      <c r="ACA879" s="808"/>
      <c r="ACB879" s="808"/>
      <c r="ACC879" s="808"/>
      <c r="ACD879" s="808"/>
      <c r="ACE879" s="808"/>
      <c r="ACF879" s="808"/>
      <c r="ACG879" s="808"/>
      <c r="ACH879" s="808"/>
      <c r="ACI879" s="808"/>
      <c r="ACJ879" s="808"/>
      <c r="ACK879" s="808"/>
      <c r="ACL879" s="808"/>
      <c r="ACM879" s="808"/>
      <c r="ACN879" s="808"/>
      <c r="ACO879" s="808"/>
      <c r="ACP879" s="808"/>
      <c r="ACQ879" s="808"/>
      <c r="ACR879" s="808"/>
      <c r="ACS879" s="808"/>
      <c r="ACT879" s="808"/>
      <c r="ACU879" s="808"/>
      <c r="ACV879" s="808"/>
      <c r="ACW879" s="808"/>
      <c r="ACX879" s="808"/>
      <c r="ACY879" s="808"/>
      <c r="ACZ879" s="808"/>
      <c r="ADA879" s="808"/>
      <c r="ADB879" s="808"/>
      <c r="ADC879" s="808"/>
      <c r="ADD879" s="808"/>
      <c r="ADE879" s="808"/>
      <c r="ADF879" s="808"/>
      <c r="ADG879" s="808"/>
      <c r="ADH879" s="808"/>
      <c r="ADI879" s="808"/>
      <c r="ADJ879" s="808"/>
      <c r="ADK879" s="808"/>
      <c r="ADL879" s="808"/>
      <c r="ADM879" s="808"/>
      <c r="ADN879" s="808"/>
      <c r="ADO879" s="808"/>
      <c r="ADP879" s="808"/>
      <c r="ADQ879" s="808"/>
      <c r="ADR879" s="808"/>
      <c r="ADS879" s="808"/>
      <c r="ADT879" s="808"/>
      <c r="ADU879" s="808"/>
      <c r="ADV879" s="808"/>
      <c r="ADW879" s="808"/>
      <c r="ADX879" s="808"/>
      <c r="ADY879" s="808"/>
      <c r="ADZ879" s="808"/>
      <c r="AEA879" s="808"/>
      <c r="AEB879" s="808"/>
      <c r="AEC879" s="808"/>
      <c r="AED879" s="808"/>
      <c r="AEE879" s="808"/>
      <c r="AEF879" s="808"/>
      <c r="AEG879" s="808"/>
      <c r="AEH879" s="808"/>
      <c r="AEI879" s="808"/>
      <c r="AEJ879" s="808"/>
      <c r="AEK879" s="808"/>
      <c r="AEL879" s="808"/>
      <c r="AEM879" s="808"/>
      <c r="AEN879" s="808"/>
      <c r="AEO879" s="808"/>
      <c r="AEP879" s="808"/>
      <c r="AEQ879" s="808"/>
      <c r="AER879" s="808"/>
      <c r="AES879" s="808"/>
      <c r="AET879" s="808"/>
      <c r="AEU879" s="808"/>
      <c r="AEV879" s="808"/>
      <c r="AEW879" s="808"/>
      <c r="AEX879" s="808"/>
      <c r="AEY879" s="808"/>
      <c r="AEZ879" s="808"/>
      <c r="AFA879" s="808"/>
      <c r="AFB879" s="808"/>
      <c r="AFC879" s="808"/>
      <c r="AFD879" s="808"/>
      <c r="AFE879" s="808"/>
      <c r="AFF879" s="808"/>
      <c r="AFG879" s="808"/>
      <c r="AFH879" s="808"/>
      <c r="AFI879" s="808"/>
      <c r="AFJ879" s="808"/>
      <c r="AFK879" s="808"/>
      <c r="AFL879" s="808"/>
      <c r="AFM879" s="808"/>
      <c r="AFN879" s="808"/>
      <c r="AFO879" s="808"/>
      <c r="AFP879" s="808"/>
      <c r="AFQ879" s="808"/>
      <c r="AFR879" s="808"/>
      <c r="AFS879" s="808"/>
      <c r="AFT879" s="808"/>
      <c r="AFU879" s="808"/>
      <c r="AFV879" s="808"/>
      <c r="AFW879" s="808"/>
      <c r="AFX879" s="808"/>
      <c r="AFY879" s="808"/>
      <c r="AFZ879" s="808"/>
      <c r="AGA879" s="808"/>
      <c r="AGB879" s="808"/>
      <c r="AGC879" s="808"/>
      <c r="AGD879" s="808"/>
      <c r="AGE879" s="808"/>
      <c r="AGF879" s="808"/>
      <c r="AGG879" s="808"/>
      <c r="AGH879" s="808"/>
      <c r="AGI879" s="808"/>
      <c r="AGJ879" s="808"/>
    </row>
    <row r="880" spans="1:868" s="7" customFormat="1" hidden="1">
      <c r="A880" s="609" t="s">
        <v>118</v>
      </c>
      <c r="B880" s="59" t="s">
        <v>432</v>
      </c>
      <c r="C880" s="40" t="s">
        <v>139</v>
      </c>
      <c r="D880" s="34" t="s">
        <v>99</v>
      </c>
      <c r="E880" s="859">
        <v>7.810419810064792E-2</v>
      </c>
      <c r="F880" s="34">
        <v>2</v>
      </c>
      <c r="G880" s="40" t="s">
        <v>429</v>
      </c>
      <c r="H880" s="29">
        <v>1</v>
      </c>
      <c r="I880" s="9">
        <v>2</v>
      </c>
      <c r="J880" s="9">
        <v>2</v>
      </c>
      <c r="K880" s="9">
        <v>1</v>
      </c>
      <c r="L880" s="9">
        <v>1</v>
      </c>
      <c r="M880" s="9">
        <v>2</v>
      </c>
      <c r="N880" s="185">
        <f t="shared" si="66"/>
        <v>0.35859414261160716</v>
      </c>
      <c r="O880" s="159">
        <f t="shared" si="65"/>
        <v>0.37356464144298934</v>
      </c>
      <c r="P880" s="63"/>
      <c r="Q880" s="808"/>
      <c r="R880" s="808"/>
      <c r="S880" s="808"/>
      <c r="T880" s="808"/>
      <c r="U880" s="808"/>
      <c r="V880" s="808"/>
      <c r="W880" s="808"/>
      <c r="X880" s="808"/>
      <c r="Y880" s="808"/>
      <c r="Z880" s="808"/>
      <c r="AA880" s="808"/>
      <c r="AB880" s="808"/>
      <c r="AC880" s="808"/>
      <c r="AD880" s="808"/>
      <c r="AE880" s="808"/>
      <c r="AF880" s="808"/>
      <c r="AG880" s="808"/>
      <c r="AH880" s="808"/>
      <c r="AI880" s="808"/>
      <c r="AJ880" s="808"/>
      <c r="AK880" s="808"/>
      <c r="AL880" s="808"/>
      <c r="AM880" s="808"/>
      <c r="AN880" s="808"/>
      <c r="AO880" s="808"/>
      <c r="AP880" s="808"/>
      <c r="AQ880" s="808"/>
      <c r="AR880" s="808"/>
      <c r="AS880" s="808"/>
      <c r="AT880" s="808"/>
      <c r="AU880" s="808"/>
      <c r="AV880" s="808"/>
      <c r="AW880" s="808"/>
      <c r="AX880" s="808"/>
      <c r="AY880" s="808"/>
      <c r="AZ880" s="808"/>
      <c r="BA880" s="808"/>
      <c r="BB880" s="808"/>
      <c r="BC880" s="808"/>
      <c r="BD880" s="808"/>
      <c r="BE880" s="808"/>
      <c r="BF880" s="808"/>
      <c r="BG880" s="808"/>
      <c r="BH880" s="808"/>
      <c r="BI880" s="808"/>
      <c r="BJ880" s="808"/>
      <c r="BK880" s="808"/>
      <c r="BL880" s="808"/>
      <c r="BM880" s="808"/>
      <c r="BN880" s="808"/>
      <c r="BO880" s="808"/>
      <c r="BP880" s="808"/>
      <c r="BQ880" s="808"/>
      <c r="BR880" s="808"/>
      <c r="BS880" s="808"/>
      <c r="BT880" s="808"/>
      <c r="BU880" s="808"/>
      <c r="BV880" s="808"/>
      <c r="BW880" s="808"/>
      <c r="BX880" s="808"/>
      <c r="BY880" s="808"/>
      <c r="BZ880" s="808"/>
      <c r="CA880" s="808"/>
      <c r="CB880" s="808"/>
      <c r="CC880" s="808"/>
      <c r="CD880" s="808"/>
      <c r="CE880" s="808"/>
      <c r="CF880" s="808"/>
      <c r="CG880" s="808"/>
      <c r="CH880" s="808"/>
      <c r="CI880" s="808"/>
      <c r="CJ880" s="808"/>
      <c r="CK880" s="808"/>
      <c r="CL880" s="808"/>
      <c r="CM880" s="808"/>
      <c r="CN880" s="808"/>
      <c r="CO880" s="808"/>
      <c r="CP880" s="808"/>
      <c r="CQ880" s="808"/>
      <c r="CR880" s="808"/>
      <c r="CS880" s="808"/>
      <c r="CT880" s="808"/>
      <c r="CU880" s="808"/>
      <c r="CV880" s="808"/>
      <c r="CW880" s="808"/>
      <c r="CX880" s="808"/>
      <c r="CY880" s="808"/>
      <c r="CZ880" s="808"/>
      <c r="DA880" s="808"/>
      <c r="DB880" s="808"/>
      <c r="DC880" s="808"/>
      <c r="DD880" s="808"/>
      <c r="DE880" s="808"/>
      <c r="DF880" s="808"/>
      <c r="DG880" s="808"/>
      <c r="DH880" s="808"/>
      <c r="DI880" s="808"/>
      <c r="DJ880" s="808"/>
      <c r="DK880" s="808"/>
      <c r="DL880" s="808"/>
      <c r="DM880" s="808"/>
      <c r="DN880" s="808"/>
      <c r="DO880" s="808"/>
      <c r="DP880" s="808"/>
      <c r="DQ880" s="808"/>
      <c r="DR880" s="808"/>
      <c r="DS880" s="808"/>
      <c r="DT880" s="808"/>
      <c r="DU880" s="808"/>
      <c r="DV880" s="808"/>
      <c r="DW880" s="808"/>
      <c r="DX880" s="808"/>
      <c r="DY880" s="808"/>
      <c r="DZ880" s="808"/>
      <c r="EA880" s="808"/>
      <c r="EB880" s="808"/>
      <c r="EC880" s="808"/>
      <c r="ED880" s="808"/>
      <c r="EE880" s="808"/>
      <c r="EF880" s="808"/>
      <c r="EG880" s="808"/>
      <c r="EH880" s="808"/>
      <c r="EI880" s="808"/>
      <c r="EJ880" s="808"/>
      <c r="EK880" s="808"/>
      <c r="EL880" s="808"/>
      <c r="EM880" s="808"/>
      <c r="EN880" s="808"/>
      <c r="EO880" s="808"/>
      <c r="EP880" s="808"/>
      <c r="EQ880" s="808"/>
      <c r="ER880" s="808"/>
      <c r="ES880" s="808"/>
      <c r="ET880" s="808"/>
      <c r="EU880" s="808"/>
      <c r="EV880" s="808"/>
      <c r="EW880" s="808"/>
      <c r="EX880" s="808"/>
      <c r="EY880" s="808"/>
      <c r="EZ880" s="808"/>
      <c r="FA880" s="808"/>
      <c r="FB880" s="808"/>
      <c r="FC880" s="808"/>
      <c r="FD880" s="808"/>
      <c r="FE880" s="808"/>
      <c r="FF880" s="808"/>
      <c r="FG880" s="808"/>
      <c r="FH880" s="808"/>
      <c r="FI880" s="808"/>
      <c r="FJ880" s="808"/>
      <c r="FK880" s="808"/>
      <c r="FL880" s="808"/>
      <c r="FM880" s="808"/>
      <c r="FN880" s="808"/>
      <c r="FO880" s="808"/>
      <c r="FP880" s="808"/>
      <c r="FQ880" s="808"/>
      <c r="FR880" s="808"/>
      <c r="FS880" s="808"/>
      <c r="FT880" s="808"/>
      <c r="FU880" s="808"/>
      <c r="FV880" s="808"/>
      <c r="FW880" s="808"/>
      <c r="FX880" s="808"/>
      <c r="FY880" s="808"/>
      <c r="FZ880" s="808"/>
      <c r="GA880" s="808"/>
      <c r="GB880" s="808"/>
      <c r="GC880" s="808"/>
      <c r="GD880" s="808"/>
      <c r="GE880" s="808"/>
      <c r="GF880" s="808"/>
      <c r="GG880" s="808"/>
      <c r="GH880" s="808"/>
      <c r="GI880" s="808"/>
      <c r="GJ880" s="808"/>
      <c r="GK880" s="808"/>
      <c r="GL880" s="808"/>
      <c r="GM880" s="808"/>
      <c r="GN880" s="808"/>
      <c r="GO880" s="808"/>
      <c r="GP880" s="808"/>
      <c r="GQ880" s="808"/>
      <c r="GR880" s="808"/>
      <c r="GS880" s="808"/>
      <c r="GT880" s="808"/>
      <c r="GU880" s="808"/>
      <c r="GV880" s="808"/>
      <c r="GW880" s="808"/>
      <c r="GX880" s="808"/>
      <c r="GY880" s="808"/>
      <c r="GZ880" s="808"/>
      <c r="HA880" s="808"/>
      <c r="HB880" s="808"/>
      <c r="HC880" s="808"/>
      <c r="HD880" s="808"/>
      <c r="HE880" s="808"/>
      <c r="HF880" s="808"/>
      <c r="HG880" s="808"/>
      <c r="HH880" s="808"/>
      <c r="HI880" s="808"/>
      <c r="HJ880" s="808"/>
      <c r="HK880" s="808"/>
      <c r="HL880" s="808"/>
      <c r="HM880" s="808"/>
      <c r="HN880" s="808"/>
      <c r="HO880" s="808"/>
      <c r="HP880" s="808"/>
      <c r="HQ880" s="808"/>
      <c r="HR880" s="808"/>
      <c r="HS880" s="808"/>
      <c r="HT880" s="808"/>
      <c r="HU880" s="808"/>
      <c r="HV880" s="808"/>
      <c r="HW880" s="808"/>
      <c r="HX880" s="808"/>
      <c r="HY880" s="808"/>
      <c r="HZ880" s="808"/>
      <c r="IA880" s="808"/>
      <c r="IB880" s="808"/>
      <c r="IC880" s="808"/>
      <c r="ID880" s="808"/>
      <c r="IE880" s="808"/>
      <c r="IF880" s="808"/>
      <c r="IG880" s="808"/>
      <c r="IH880" s="808"/>
      <c r="II880" s="808"/>
      <c r="IJ880" s="808"/>
      <c r="IK880" s="808"/>
      <c r="IL880" s="808"/>
      <c r="IM880" s="808"/>
      <c r="IN880" s="808"/>
      <c r="IO880" s="808"/>
      <c r="IP880" s="808"/>
      <c r="IQ880" s="808"/>
      <c r="IR880" s="808"/>
      <c r="IS880" s="808"/>
      <c r="IT880" s="808"/>
      <c r="IU880" s="808"/>
      <c r="IV880" s="808"/>
      <c r="IW880" s="808"/>
      <c r="IX880" s="808"/>
      <c r="IY880" s="808"/>
      <c r="IZ880" s="808"/>
      <c r="JA880" s="808"/>
      <c r="JB880" s="808"/>
      <c r="JC880" s="808"/>
      <c r="JD880" s="808"/>
      <c r="JE880" s="808"/>
      <c r="JF880" s="808"/>
      <c r="JG880" s="808"/>
      <c r="JH880" s="808"/>
      <c r="JI880" s="808"/>
      <c r="JJ880" s="808"/>
      <c r="JK880" s="808"/>
      <c r="JL880" s="808"/>
      <c r="JM880" s="808"/>
      <c r="JN880" s="808"/>
      <c r="JO880" s="808"/>
      <c r="JP880" s="808"/>
      <c r="JQ880" s="808"/>
      <c r="JR880" s="808"/>
      <c r="JS880" s="808"/>
      <c r="JT880" s="808"/>
      <c r="JU880" s="808"/>
      <c r="JV880" s="808"/>
      <c r="JW880" s="808"/>
      <c r="JX880" s="808"/>
      <c r="JY880" s="808"/>
      <c r="JZ880" s="808"/>
      <c r="KA880" s="808"/>
      <c r="KB880" s="808"/>
      <c r="KC880" s="808"/>
      <c r="KD880" s="808"/>
      <c r="KE880" s="808"/>
      <c r="KF880" s="808"/>
      <c r="KG880" s="808"/>
      <c r="KH880" s="808"/>
      <c r="KI880" s="808"/>
      <c r="KJ880" s="808"/>
      <c r="KK880" s="808"/>
      <c r="KL880" s="808"/>
      <c r="KM880" s="808"/>
      <c r="KN880" s="808"/>
      <c r="KO880" s="808"/>
      <c r="KP880" s="808"/>
      <c r="KQ880" s="808"/>
      <c r="KR880" s="808"/>
      <c r="KS880" s="808"/>
      <c r="KT880" s="808"/>
      <c r="KU880" s="808"/>
      <c r="KV880" s="808"/>
      <c r="KW880" s="808"/>
      <c r="KX880" s="808"/>
      <c r="KY880" s="808"/>
      <c r="KZ880" s="808"/>
      <c r="LA880" s="808"/>
      <c r="LB880" s="808"/>
      <c r="LC880" s="808"/>
      <c r="LD880" s="808"/>
      <c r="LE880" s="808"/>
      <c r="LF880" s="808"/>
      <c r="LG880" s="808"/>
      <c r="LH880" s="808"/>
      <c r="LI880" s="808"/>
      <c r="LJ880" s="808"/>
      <c r="LK880" s="808"/>
      <c r="LL880" s="808"/>
      <c r="LM880" s="808"/>
      <c r="LN880" s="808"/>
      <c r="LO880" s="808"/>
      <c r="LP880" s="808"/>
      <c r="LQ880" s="808"/>
      <c r="LR880" s="808"/>
      <c r="LS880" s="808"/>
      <c r="LT880" s="808"/>
      <c r="LU880" s="808"/>
      <c r="LV880" s="808"/>
      <c r="LW880" s="808"/>
      <c r="LX880" s="808"/>
      <c r="LY880" s="808"/>
      <c r="LZ880" s="808"/>
      <c r="MA880" s="808"/>
      <c r="MB880" s="808"/>
      <c r="MC880" s="808"/>
      <c r="MD880" s="808"/>
      <c r="ME880" s="808"/>
      <c r="MF880" s="808"/>
      <c r="MG880" s="808"/>
      <c r="MH880" s="808"/>
      <c r="MI880" s="808"/>
      <c r="MJ880" s="808"/>
      <c r="MK880" s="808"/>
      <c r="ML880" s="808"/>
      <c r="MM880" s="808"/>
      <c r="MN880" s="808"/>
      <c r="MO880" s="808"/>
      <c r="MP880" s="808"/>
      <c r="MQ880" s="808"/>
      <c r="MR880" s="808"/>
      <c r="MS880" s="808"/>
      <c r="MT880" s="808"/>
      <c r="MU880" s="808"/>
      <c r="MV880" s="808"/>
      <c r="MW880" s="808"/>
      <c r="MX880" s="808"/>
      <c r="MY880" s="808"/>
      <c r="MZ880" s="808"/>
      <c r="NA880" s="808"/>
      <c r="NB880" s="808"/>
      <c r="NC880" s="808"/>
      <c r="ND880" s="808"/>
      <c r="NE880" s="808"/>
      <c r="NF880" s="808"/>
      <c r="NG880" s="808"/>
      <c r="NH880" s="808"/>
      <c r="NI880" s="808"/>
      <c r="NJ880" s="808"/>
      <c r="NK880" s="808"/>
      <c r="NL880" s="808"/>
      <c r="NM880" s="808"/>
      <c r="NN880" s="808"/>
      <c r="NO880" s="808"/>
      <c r="NP880" s="808"/>
      <c r="NQ880" s="808"/>
      <c r="NR880" s="808"/>
      <c r="NS880" s="808"/>
      <c r="NT880" s="808"/>
      <c r="NU880" s="808"/>
      <c r="NV880" s="808"/>
      <c r="NW880" s="808"/>
      <c r="NX880" s="808"/>
      <c r="NY880" s="808"/>
      <c r="NZ880" s="808"/>
      <c r="OA880" s="808"/>
      <c r="OB880" s="808"/>
      <c r="OC880" s="808"/>
      <c r="OD880" s="808"/>
      <c r="OE880" s="808"/>
      <c r="OF880" s="808"/>
      <c r="OG880" s="808"/>
      <c r="OH880" s="808"/>
      <c r="OI880" s="808"/>
      <c r="OJ880" s="808"/>
      <c r="OK880" s="808"/>
      <c r="OL880" s="808"/>
      <c r="OM880" s="808"/>
      <c r="ON880" s="808"/>
      <c r="OO880" s="808"/>
      <c r="OP880" s="808"/>
      <c r="OQ880" s="808"/>
      <c r="OR880" s="808"/>
      <c r="OS880" s="808"/>
      <c r="OT880" s="808"/>
      <c r="OU880" s="808"/>
      <c r="OV880" s="808"/>
      <c r="OW880" s="808"/>
      <c r="OX880" s="808"/>
      <c r="OY880" s="808"/>
      <c r="OZ880" s="808"/>
      <c r="PA880" s="808"/>
      <c r="PB880" s="808"/>
      <c r="PC880" s="808"/>
      <c r="PD880" s="808"/>
      <c r="PE880" s="808"/>
      <c r="PF880" s="808"/>
      <c r="PG880" s="808"/>
      <c r="PH880" s="808"/>
      <c r="PI880" s="808"/>
      <c r="PJ880" s="808"/>
      <c r="PK880" s="808"/>
      <c r="PL880" s="808"/>
      <c r="PM880" s="808"/>
      <c r="PN880" s="808"/>
      <c r="PO880" s="808"/>
      <c r="PP880" s="808"/>
      <c r="PQ880" s="808"/>
      <c r="PR880" s="808"/>
      <c r="PS880" s="808"/>
      <c r="PT880" s="808"/>
      <c r="PU880" s="808"/>
      <c r="PV880" s="808"/>
      <c r="PW880" s="808"/>
      <c r="PX880" s="808"/>
      <c r="PY880" s="808"/>
      <c r="PZ880" s="808"/>
      <c r="QA880" s="808"/>
      <c r="QB880" s="808"/>
      <c r="QC880" s="808"/>
      <c r="QD880" s="808"/>
      <c r="QE880" s="808"/>
      <c r="QF880" s="808"/>
      <c r="QG880" s="808"/>
      <c r="QH880" s="808"/>
      <c r="QI880" s="808"/>
      <c r="QJ880" s="808"/>
      <c r="QK880" s="808"/>
      <c r="QL880" s="808"/>
      <c r="QM880" s="808"/>
      <c r="QN880" s="808"/>
      <c r="QO880" s="808"/>
      <c r="QP880" s="808"/>
      <c r="QQ880" s="808"/>
      <c r="QR880" s="808"/>
      <c r="QS880" s="808"/>
      <c r="QT880" s="808"/>
      <c r="QU880" s="808"/>
      <c r="QV880" s="808"/>
      <c r="QW880" s="808"/>
      <c r="QX880" s="808"/>
      <c r="QY880" s="808"/>
      <c r="QZ880" s="808"/>
      <c r="RA880" s="808"/>
      <c r="RB880" s="808"/>
      <c r="RC880" s="808"/>
      <c r="RD880" s="808"/>
      <c r="RE880" s="808"/>
      <c r="RF880" s="808"/>
      <c r="RG880" s="808"/>
      <c r="RH880" s="808"/>
      <c r="RI880" s="808"/>
      <c r="RJ880" s="808"/>
      <c r="RK880" s="808"/>
      <c r="RL880" s="808"/>
      <c r="RM880" s="808"/>
      <c r="RN880" s="808"/>
      <c r="RO880" s="808"/>
      <c r="RP880" s="808"/>
      <c r="RQ880" s="808"/>
      <c r="RR880" s="808"/>
      <c r="RS880" s="808"/>
      <c r="RT880" s="808"/>
      <c r="RU880" s="808"/>
      <c r="RV880" s="808"/>
      <c r="RW880" s="808"/>
      <c r="RX880" s="808"/>
      <c r="RY880" s="808"/>
      <c r="RZ880" s="808"/>
      <c r="SA880" s="808"/>
      <c r="SB880" s="808"/>
      <c r="SC880" s="808"/>
      <c r="SD880" s="808"/>
      <c r="SE880" s="808"/>
      <c r="SF880" s="808"/>
      <c r="SG880" s="808"/>
      <c r="SH880" s="808"/>
      <c r="SI880" s="808"/>
      <c r="SJ880" s="808"/>
      <c r="SK880" s="808"/>
      <c r="SL880" s="808"/>
      <c r="SM880" s="808"/>
      <c r="SN880" s="808"/>
      <c r="SO880" s="808"/>
      <c r="SP880" s="808"/>
      <c r="SQ880" s="808"/>
      <c r="SR880" s="808"/>
      <c r="SS880" s="808"/>
      <c r="ST880" s="808"/>
      <c r="SU880" s="808"/>
      <c r="SV880" s="808"/>
      <c r="SW880" s="808"/>
      <c r="SX880" s="808"/>
      <c r="SY880" s="808"/>
      <c r="SZ880" s="808"/>
      <c r="TA880" s="808"/>
      <c r="TB880" s="808"/>
      <c r="TC880" s="808"/>
      <c r="TD880" s="808"/>
      <c r="TE880" s="808"/>
      <c r="TF880" s="808"/>
      <c r="TG880" s="808"/>
      <c r="TH880" s="808"/>
      <c r="TI880" s="808"/>
      <c r="TJ880" s="808"/>
      <c r="TK880" s="808"/>
      <c r="TL880" s="808"/>
      <c r="TM880" s="808"/>
      <c r="TN880" s="808"/>
      <c r="TO880" s="808"/>
      <c r="TP880" s="808"/>
      <c r="TQ880" s="808"/>
      <c r="TR880" s="808"/>
      <c r="TS880" s="808"/>
      <c r="TT880" s="808"/>
      <c r="TU880" s="808"/>
      <c r="TV880" s="808"/>
      <c r="TW880" s="808"/>
      <c r="TX880" s="808"/>
      <c r="TY880" s="808"/>
      <c r="TZ880" s="808"/>
      <c r="UA880" s="808"/>
      <c r="UB880" s="808"/>
      <c r="UC880" s="808"/>
      <c r="UD880" s="808"/>
      <c r="UE880" s="808"/>
      <c r="UF880" s="808"/>
      <c r="UG880" s="808"/>
      <c r="UH880" s="808"/>
      <c r="UI880" s="808"/>
      <c r="UJ880" s="808"/>
      <c r="UK880" s="808"/>
      <c r="UL880" s="808"/>
      <c r="UM880" s="808"/>
      <c r="UN880" s="808"/>
      <c r="UO880" s="808"/>
      <c r="UP880" s="808"/>
      <c r="UQ880" s="808"/>
      <c r="UR880" s="808"/>
      <c r="US880" s="808"/>
      <c r="UT880" s="808"/>
      <c r="UU880" s="808"/>
      <c r="UV880" s="808"/>
      <c r="UW880" s="808"/>
      <c r="UX880" s="808"/>
      <c r="UY880" s="808"/>
      <c r="UZ880" s="808"/>
      <c r="VA880" s="808"/>
      <c r="VB880" s="808"/>
      <c r="VC880" s="808"/>
      <c r="VD880" s="808"/>
      <c r="VE880" s="808"/>
      <c r="VF880" s="808"/>
      <c r="VG880" s="808"/>
      <c r="VH880" s="808"/>
      <c r="VI880" s="808"/>
      <c r="VJ880" s="808"/>
      <c r="VK880" s="808"/>
      <c r="VL880" s="808"/>
      <c r="VM880" s="808"/>
      <c r="VN880" s="808"/>
      <c r="VO880" s="808"/>
      <c r="VP880" s="808"/>
      <c r="VQ880" s="808"/>
      <c r="VR880" s="808"/>
      <c r="VS880" s="808"/>
      <c r="VT880" s="808"/>
      <c r="VU880" s="808"/>
      <c r="VV880" s="808"/>
      <c r="VW880" s="808"/>
      <c r="VX880" s="808"/>
      <c r="VY880" s="808"/>
      <c r="VZ880" s="808"/>
      <c r="WA880" s="808"/>
      <c r="WB880" s="808"/>
      <c r="WC880" s="808"/>
      <c r="WD880" s="808"/>
      <c r="WE880" s="808"/>
      <c r="WF880" s="808"/>
      <c r="WG880" s="808"/>
      <c r="WH880" s="808"/>
      <c r="WI880" s="808"/>
      <c r="WJ880" s="808"/>
      <c r="WK880" s="808"/>
      <c r="WL880" s="808"/>
      <c r="WM880" s="808"/>
      <c r="WN880" s="808"/>
      <c r="WO880" s="808"/>
      <c r="WP880" s="808"/>
      <c r="WQ880" s="808"/>
      <c r="WR880" s="808"/>
      <c r="WS880" s="808"/>
      <c r="WT880" s="808"/>
      <c r="WU880" s="808"/>
      <c r="WV880" s="808"/>
      <c r="WW880" s="808"/>
      <c r="WX880" s="808"/>
      <c r="WY880" s="808"/>
      <c r="WZ880" s="808"/>
      <c r="XA880" s="808"/>
      <c r="XB880" s="808"/>
      <c r="XC880" s="808"/>
      <c r="XD880" s="808"/>
      <c r="XE880" s="808"/>
      <c r="XF880" s="808"/>
      <c r="XG880" s="808"/>
      <c r="XH880" s="808"/>
      <c r="XI880" s="808"/>
      <c r="XJ880" s="808"/>
      <c r="XK880" s="808"/>
      <c r="XL880" s="808"/>
      <c r="XM880" s="808"/>
      <c r="XN880" s="808"/>
      <c r="XO880" s="808"/>
      <c r="XP880" s="808"/>
      <c r="XQ880" s="808"/>
      <c r="XR880" s="808"/>
      <c r="XS880" s="808"/>
      <c r="XT880" s="808"/>
      <c r="XU880" s="808"/>
      <c r="XV880" s="808"/>
      <c r="XW880" s="808"/>
      <c r="XX880" s="808"/>
      <c r="XY880" s="808"/>
      <c r="XZ880" s="808"/>
      <c r="YA880" s="808"/>
      <c r="YB880" s="808"/>
      <c r="YC880" s="808"/>
      <c r="YD880" s="808"/>
      <c r="YE880" s="808"/>
      <c r="YF880" s="808"/>
      <c r="YG880" s="808"/>
      <c r="YH880" s="808"/>
      <c r="YI880" s="808"/>
      <c r="YJ880" s="808"/>
      <c r="YK880" s="808"/>
      <c r="YL880" s="808"/>
      <c r="YM880" s="808"/>
      <c r="YN880" s="808"/>
      <c r="YO880" s="808"/>
      <c r="YP880" s="808"/>
      <c r="YQ880" s="808"/>
      <c r="YR880" s="808"/>
      <c r="YS880" s="808"/>
      <c r="YT880" s="808"/>
      <c r="YU880" s="808"/>
      <c r="YV880" s="808"/>
      <c r="YW880" s="808"/>
      <c r="YX880" s="808"/>
      <c r="YY880" s="808"/>
      <c r="YZ880" s="808"/>
      <c r="ZA880" s="808"/>
      <c r="ZB880" s="808"/>
      <c r="ZC880" s="808"/>
      <c r="ZD880" s="808"/>
      <c r="ZE880" s="808"/>
      <c r="ZF880" s="808"/>
      <c r="ZG880" s="808"/>
      <c r="ZH880" s="808"/>
      <c r="ZI880" s="808"/>
      <c r="ZJ880" s="808"/>
      <c r="ZK880" s="808"/>
      <c r="ZL880" s="808"/>
      <c r="ZM880" s="808"/>
      <c r="ZN880" s="808"/>
      <c r="ZO880" s="808"/>
      <c r="ZP880" s="808"/>
      <c r="ZQ880" s="808"/>
      <c r="ZR880" s="808"/>
      <c r="ZS880" s="808"/>
      <c r="ZT880" s="808"/>
      <c r="ZU880" s="808"/>
      <c r="ZV880" s="808"/>
      <c r="ZW880" s="808"/>
      <c r="ZX880" s="808"/>
      <c r="ZY880" s="808"/>
      <c r="ZZ880" s="808"/>
      <c r="AAA880" s="808"/>
      <c r="AAB880" s="808"/>
      <c r="AAC880" s="808"/>
      <c r="AAD880" s="808"/>
      <c r="AAE880" s="808"/>
      <c r="AAF880" s="808"/>
      <c r="AAG880" s="808"/>
      <c r="AAH880" s="808"/>
      <c r="AAI880" s="808"/>
      <c r="AAJ880" s="808"/>
      <c r="AAK880" s="808"/>
      <c r="AAL880" s="808"/>
      <c r="AAM880" s="808"/>
      <c r="AAN880" s="808"/>
      <c r="AAO880" s="808"/>
      <c r="AAP880" s="808"/>
      <c r="AAQ880" s="808"/>
      <c r="AAR880" s="808"/>
      <c r="AAS880" s="808"/>
      <c r="AAT880" s="808"/>
      <c r="AAU880" s="808"/>
      <c r="AAV880" s="808"/>
      <c r="AAW880" s="808"/>
      <c r="AAX880" s="808"/>
      <c r="AAY880" s="808"/>
      <c r="AAZ880" s="808"/>
      <c r="ABA880" s="808"/>
      <c r="ABB880" s="808"/>
      <c r="ABC880" s="808"/>
      <c r="ABD880" s="808"/>
      <c r="ABE880" s="808"/>
      <c r="ABF880" s="808"/>
      <c r="ABG880" s="808"/>
      <c r="ABH880" s="808"/>
      <c r="ABI880" s="808"/>
      <c r="ABJ880" s="808"/>
      <c r="ABK880" s="808"/>
      <c r="ABL880" s="808"/>
      <c r="ABM880" s="808"/>
      <c r="ABN880" s="808"/>
      <c r="ABO880" s="808"/>
      <c r="ABP880" s="808"/>
      <c r="ABQ880" s="808"/>
      <c r="ABR880" s="808"/>
      <c r="ABS880" s="808"/>
      <c r="ABT880" s="808"/>
      <c r="ABU880" s="808"/>
      <c r="ABV880" s="808"/>
      <c r="ABW880" s="808"/>
      <c r="ABX880" s="808"/>
      <c r="ABY880" s="808"/>
      <c r="ABZ880" s="808"/>
      <c r="ACA880" s="808"/>
      <c r="ACB880" s="808"/>
      <c r="ACC880" s="808"/>
      <c r="ACD880" s="808"/>
      <c r="ACE880" s="808"/>
      <c r="ACF880" s="808"/>
      <c r="ACG880" s="808"/>
      <c r="ACH880" s="808"/>
      <c r="ACI880" s="808"/>
      <c r="ACJ880" s="808"/>
      <c r="ACK880" s="808"/>
      <c r="ACL880" s="808"/>
      <c r="ACM880" s="808"/>
      <c r="ACN880" s="808"/>
      <c r="ACO880" s="808"/>
      <c r="ACP880" s="808"/>
      <c r="ACQ880" s="808"/>
      <c r="ACR880" s="808"/>
      <c r="ACS880" s="808"/>
      <c r="ACT880" s="808"/>
      <c r="ACU880" s="808"/>
      <c r="ACV880" s="808"/>
      <c r="ACW880" s="808"/>
      <c r="ACX880" s="808"/>
      <c r="ACY880" s="808"/>
      <c r="ACZ880" s="808"/>
      <c r="ADA880" s="808"/>
      <c r="ADB880" s="808"/>
      <c r="ADC880" s="808"/>
      <c r="ADD880" s="808"/>
      <c r="ADE880" s="808"/>
      <c r="ADF880" s="808"/>
      <c r="ADG880" s="808"/>
      <c r="ADH880" s="808"/>
      <c r="ADI880" s="808"/>
      <c r="ADJ880" s="808"/>
      <c r="ADK880" s="808"/>
      <c r="ADL880" s="808"/>
      <c r="ADM880" s="808"/>
      <c r="ADN880" s="808"/>
      <c r="ADO880" s="808"/>
      <c r="ADP880" s="808"/>
      <c r="ADQ880" s="808"/>
      <c r="ADR880" s="808"/>
      <c r="ADS880" s="808"/>
      <c r="ADT880" s="808"/>
      <c r="ADU880" s="808"/>
      <c r="ADV880" s="808"/>
      <c r="ADW880" s="808"/>
      <c r="ADX880" s="808"/>
      <c r="ADY880" s="808"/>
      <c r="ADZ880" s="808"/>
      <c r="AEA880" s="808"/>
      <c r="AEB880" s="808"/>
      <c r="AEC880" s="808"/>
      <c r="AED880" s="808"/>
      <c r="AEE880" s="808"/>
      <c r="AEF880" s="808"/>
      <c r="AEG880" s="808"/>
      <c r="AEH880" s="808"/>
      <c r="AEI880" s="808"/>
      <c r="AEJ880" s="808"/>
      <c r="AEK880" s="808"/>
      <c r="AEL880" s="808"/>
      <c r="AEM880" s="808"/>
      <c r="AEN880" s="808"/>
      <c r="AEO880" s="808"/>
      <c r="AEP880" s="808"/>
      <c r="AEQ880" s="808"/>
      <c r="AER880" s="808"/>
      <c r="AES880" s="808"/>
      <c r="AET880" s="808"/>
      <c r="AEU880" s="808"/>
      <c r="AEV880" s="808"/>
      <c r="AEW880" s="808"/>
      <c r="AEX880" s="808"/>
      <c r="AEY880" s="808"/>
      <c r="AEZ880" s="808"/>
      <c r="AFA880" s="808"/>
      <c r="AFB880" s="808"/>
      <c r="AFC880" s="808"/>
      <c r="AFD880" s="808"/>
      <c r="AFE880" s="808"/>
      <c r="AFF880" s="808"/>
      <c r="AFG880" s="808"/>
      <c r="AFH880" s="808"/>
      <c r="AFI880" s="808"/>
      <c r="AFJ880" s="808"/>
      <c r="AFK880" s="808"/>
      <c r="AFL880" s="808"/>
      <c r="AFM880" s="808"/>
      <c r="AFN880" s="808"/>
      <c r="AFO880" s="808"/>
      <c r="AFP880" s="808"/>
      <c r="AFQ880" s="808"/>
      <c r="AFR880" s="808"/>
      <c r="AFS880" s="808"/>
      <c r="AFT880" s="808"/>
      <c r="AFU880" s="808"/>
      <c r="AFV880" s="808"/>
      <c r="AFW880" s="808"/>
      <c r="AFX880" s="808"/>
      <c r="AFY880" s="808"/>
      <c r="AFZ880" s="808"/>
      <c r="AGA880" s="808"/>
      <c r="AGB880" s="808"/>
      <c r="AGC880" s="808"/>
      <c r="AGD880" s="808"/>
      <c r="AGE880" s="808"/>
      <c r="AGF880" s="808"/>
      <c r="AGG880" s="808"/>
      <c r="AGH880" s="808"/>
      <c r="AGI880" s="808"/>
      <c r="AGJ880" s="808"/>
    </row>
    <row r="881" spans="1:868" s="7" customFormat="1" hidden="1">
      <c r="A881" s="609" t="s">
        <v>118</v>
      </c>
      <c r="B881" s="59" t="s">
        <v>433</v>
      </c>
      <c r="C881" s="40" t="s">
        <v>139</v>
      </c>
      <c r="D881" s="34" t="s">
        <v>99</v>
      </c>
      <c r="E881" s="859">
        <v>7.810419810064792E-2</v>
      </c>
      <c r="F881" s="34">
        <v>2</v>
      </c>
      <c r="G881" s="40" t="s">
        <v>429</v>
      </c>
      <c r="H881" s="29">
        <v>1</v>
      </c>
      <c r="I881" s="9">
        <v>2</v>
      </c>
      <c r="J881" s="9">
        <v>2</v>
      </c>
      <c r="K881" s="9">
        <v>1</v>
      </c>
      <c r="L881" s="9">
        <v>1</v>
      </c>
      <c r="M881" s="9">
        <v>2</v>
      </c>
      <c r="N881" s="185">
        <f t="shared" si="66"/>
        <v>0.35859414261160716</v>
      </c>
      <c r="O881" s="159">
        <f t="shared" si="65"/>
        <v>0.37356464144298934</v>
      </c>
      <c r="P881" s="63"/>
      <c r="Q881" s="808"/>
      <c r="R881" s="808"/>
      <c r="S881" s="808"/>
      <c r="T881" s="808"/>
      <c r="U881" s="808"/>
      <c r="V881" s="808"/>
      <c r="W881" s="808"/>
      <c r="X881" s="808"/>
      <c r="Y881" s="808"/>
      <c r="Z881" s="808"/>
      <c r="AA881" s="808"/>
      <c r="AB881" s="808"/>
      <c r="AC881" s="808"/>
      <c r="AD881" s="808"/>
      <c r="AE881" s="808"/>
      <c r="AF881" s="808"/>
      <c r="AG881" s="808"/>
      <c r="AH881" s="808"/>
      <c r="AI881" s="808"/>
      <c r="AJ881" s="808"/>
      <c r="AK881" s="808"/>
      <c r="AL881" s="808"/>
      <c r="AM881" s="808"/>
      <c r="AN881" s="808"/>
      <c r="AO881" s="808"/>
      <c r="AP881" s="808"/>
      <c r="AQ881" s="808"/>
      <c r="AR881" s="808"/>
      <c r="AS881" s="808"/>
      <c r="AT881" s="808"/>
      <c r="AU881" s="808"/>
      <c r="AV881" s="808"/>
      <c r="AW881" s="808"/>
      <c r="AX881" s="808"/>
      <c r="AY881" s="808"/>
      <c r="AZ881" s="808"/>
      <c r="BA881" s="808"/>
      <c r="BB881" s="808"/>
      <c r="BC881" s="808"/>
      <c r="BD881" s="808"/>
      <c r="BE881" s="808"/>
      <c r="BF881" s="808"/>
      <c r="BG881" s="808"/>
      <c r="BH881" s="808"/>
      <c r="BI881" s="808"/>
      <c r="BJ881" s="808"/>
      <c r="BK881" s="808"/>
      <c r="BL881" s="808"/>
      <c r="BM881" s="808"/>
      <c r="BN881" s="808"/>
      <c r="BO881" s="808"/>
      <c r="BP881" s="808"/>
      <c r="BQ881" s="808"/>
      <c r="BR881" s="808"/>
      <c r="BS881" s="808"/>
      <c r="BT881" s="808"/>
      <c r="BU881" s="808"/>
      <c r="BV881" s="808"/>
      <c r="BW881" s="808"/>
      <c r="BX881" s="808"/>
      <c r="BY881" s="808"/>
      <c r="BZ881" s="808"/>
      <c r="CA881" s="808"/>
      <c r="CB881" s="808"/>
      <c r="CC881" s="808"/>
      <c r="CD881" s="808"/>
      <c r="CE881" s="808"/>
      <c r="CF881" s="808"/>
      <c r="CG881" s="808"/>
      <c r="CH881" s="808"/>
      <c r="CI881" s="808"/>
      <c r="CJ881" s="808"/>
      <c r="CK881" s="808"/>
      <c r="CL881" s="808"/>
      <c r="CM881" s="808"/>
      <c r="CN881" s="808"/>
      <c r="CO881" s="808"/>
      <c r="CP881" s="808"/>
      <c r="CQ881" s="808"/>
      <c r="CR881" s="808"/>
      <c r="CS881" s="808"/>
      <c r="CT881" s="808"/>
      <c r="CU881" s="808"/>
      <c r="CV881" s="808"/>
      <c r="CW881" s="808"/>
      <c r="CX881" s="808"/>
      <c r="CY881" s="808"/>
      <c r="CZ881" s="808"/>
      <c r="DA881" s="808"/>
      <c r="DB881" s="808"/>
      <c r="DC881" s="808"/>
      <c r="DD881" s="808"/>
      <c r="DE881" s="808"/>
      <c r="DF881" s="808"/>
      <c r="DG881" s="808"/>
      <c r="DH881" s="808"/>
      <c r="DI881" s="808"/>
      <c r="DJ881" s="808"/>
      <c r="DK881" s="808"/>
      <c r="DL881" s="808"/>
      <c r="DM881" s="808"/>
      <c r="DN881" s="808"/>
      <c r="DO881" s="808"/>
      <c r="DP881" s="808"/>
      <c r="DQ881" s="808"/>
      <c r="DR881" s="808"/>
      <c r="DS881" s="808"/>
      <c r="DT881" s="808"/>
      <c r="DU881" s="808"/>
      <c r="DV881" s="808"/>
      <c r="DW881" s="808"/>
      <c r="DX881" s="808"/>
      <c r="DY881" s="808"/>
      <c r="DZ881" s="808"/>
      <c r="EA881" s="808"/>
      <c r="EB881" s="808"/>
      <c r="EC881" s="808"/>
      <c r="ED881" s="808"/>
      <c r="EE881" s="808"/>
      <c r="EF881" s="808"/>
      <c r="EG881" s="808"/>
      <c r="EH881" s="808"/>
      <c r="EI881" s="808"/>
      <c r="EJ881" s="808"/>
      <c r="EK881" s="808"/>
      <c r="EL881" s="808"/>
      <c r="EM881" s="808"/>
      <c r="EN881" s="808"/>
      <c r="EO881" s="808"/>
      <c r="EP881" s="808"/>
      <c r="EQ881" s="808"/>
      <c r="ER881" s="808"/>
      <c r="ES881" s="808"/>
      <c r="ET881" s="808"/>
      <c r="EU881" s="808"/>
      <c r="EV881" s="808"/>
      <c r="EW881" s="808"/>
      <c r="EX881" s="808"/>
      <c r="EY881" s="808"/>
      <c r="EZ881" s="808"/>
      <c r="FA881" s="808"/>
      <c r="FB881" s="808"/>
      <c r="FC881" s="808"/>
      <c r="FD881" s="808"/>
      <c r="FE881" s="808"/>
      <c r="FF881" s="808"/>
      <c r="FG881" s="808"/>
      <c r="FH881" s="808"/>
      <c r="FI881" s="808"/>
      <c r="FJ881" s="808"/>
      <c r="FK881" s="808"/>
      <c r="FL881" s="808"/>
      <c r="FM881" s="808"/>
      <c r="FN881" s="808"/>
      <c r="FO881" s="808"/>
      <c r="FP881" s="808"/>
      <c r="FQ881" s="808"/>
      <c r="FR881" s="808"/>
      <c r="FS881" s="808"/>
      <c r="FT881" s="808"/>
      <c r="FU881" s="808"/>
      <c r="FV881" s="808"/>
      <c r="FW881" s="808"/>
      <c r="FX881" s="808"/>
      <c r="FY881" s="808"/>
      <c r="FZ881" s="808"/>
      <c r="GA881" s="808"/>
      <c r="GB881" s="808"/>
      <c r="GC881" s="808"/>
      <c r="GD881" s="808"/>
      <c r="GE881" s="808"/>
      <c r="GF881" s="808"/>
      <c r="GG881" s="808"/>
      <c r="GH881" s="808"/>
      <c r="GI881" s="808"/>
      <c r="GJ881" s="808"/>
      <c r="GK881" s="808"/>
      <c r="GL881" s="808"/>
      <c r="GM881" s="808"/>
      <c r="GN881" s="808"/>
      <c r="GO881" s="808"/>
      <c r="GP881" s="808"/>
      <c r="GQ881" s="808"/>
      <c r="GR881" s="808"/>
      <c r="GS881" s="808"/>
      <c r="GT881" s="808"/>
      <c r="GU881" s="808"/>
      <c r="GV881" s="808"/>
      <c r="GW881" s="808"/>
      <c r="GX881" s="808"/>
      <c r="GY881" s="808"/>
      <c r="GZ881" s="808"/>
      <c r="HA881" s="808"/>
      <c r="HB881" s="808"/>
      <c r="HC881" s="808"/>
      <c r="HD881" s="808"/>
      <c r="HE881" s="808"/>
      <c r="HF881" s="808"/>
      <c r="HG881" s="808"/>
      <c r="HH881" s="808"/>
      <c r="HI881" s="808"/>
      <c r="HJ881" s="808"/>
      <c r="HK881" s="808"/>
      <c r="HL881" s="808"/>
      <c r="HM881" s="808"/>
      <c r="HN881" s="808"/>
      <c r="HO881" s="808"/>
      <c r="HP881" s="808"/>
      <c r="HQ881" s="808"/>
      <c r="HR881" s="808"/>
      <c r="HS881" s="808"/>
      <c r="HT881" s="808"/>
      <c r="HU881" s="808"/>
      <c r="HV881" s="808"/>
      <c r="HW881" s="808"/>
      <c r="HX881" s="808"/>
      <c r="HY881" s="808"/>
      <c r="HZ881" s="808"/>
      <c r="IA881" s="808"/>
      <c r="IB881" s="808"/>
      <c r="IC881" s="808"/>
      <c r="ID881" s="808"/>
      <c r="IE881" s="808"/>
      <c r="IF881" s="808"/>
      <c r="IG881" s="808"/>
      <c r="IH881" s="808"/>
      <c r="II881" s="808"/>
      <c r="IJ881" s="808"/>
      <c r="IK881" s="808"/>
      <c r="IL881" s="808"/>
      <c r="IM881" s="808"/>
      <c r="IN881" s="808"/>
      <c r="IO881" s="808"/>
      <c r="IP881" s="808"/>
      <c r="IQ881" s="808"/>
      <c r="IR881" s="808"/>
      <c r="IS881" s="808"/>
      <c r="IT881" s="808"/>
      <c r="IU881" s="808"/>
      <c r="IV881" s="808"/>
      <c r="IW881" s="808"/>
      <c r="IX881" s="808"/>
      <c r="IY881" s="808"/>
      <c r="IZ881" s="808"/>
      <c r="JA881" s="808"/>
      <c r="JB881" s="808"/>
      <c r="JC881" s="808"/>
      <c r="JD881" s="808"/>
      <c r="JE881" s="808"/>
      <c r="JF881" s="808"/>
      <c r="JG881" s="808"/>
      <c r="JH881" s="808"/>
      <c r="JI881" s="808"/>
      <c r="JJ881" s="808"/>
      <c r="JK881" s="808"/>
      <c r="JL881" s="808"/>
      <c r="JM881" s="808"/>
      <c r="JN881" s="808"/>
      <c r="JO881" s="808"/>
      <c r="JP881" s="808"/>
      <c r="JQ881" s="808"/>
      <c r="JR881" s="808"/>
      <c r="JS881" s="808"/>
      <c r="JT881" s="808"/>
      <c r="JU881" s="808"/>
      <c r="JV881" s="808"/>
      <c r="JW881" s="808"/>
      <c r="JX881" s="808"/>
      <c r="JY881" s="808"/>
      <c r="JZ881" s="808"/>
      <c r="KA881" s="808"/>
      <c r="KB881" s="808"/>
      <c r="KC881" s="808"/>
      <c r="KD881" s="808"/>
      <c r="KE881" s="808"/>
      <c r="KF881" s="808"/>
      <c r="KG881" s="808"/>
      <c r="KH881" s="808"/>
      <c r="KI881" s="808"/>
      <c r="KJ881" s="808"/>
      <c r="KK881" s="808"/>
      <c r="KL881" s="808"/>
      <c r="KM881" s="808"/>
      <c r="KN881" s="808"/>
      <c r="KO881" s="808"/>
      <c r="KP881" s="808"/>
      <c r="KQ881" s="808"/>
      <c r="KR881" s="808"/>
      <c r="KS881" s="808"/>
      <c r="KT881" s="808"/>
      <c r="KU881" s="808"/>
      <c r="KV881" s="808"/>
      <c r="KW881" s="808"/>
      <c r="KX881" s="808"/>
      <c r="KY881" s="808"/>
      <c r="KZ881" s="808"/>
      <c r="LA881" s="808"/>
      <c r="LB881" s="808"/>
      <c r="LC881" s="808"/>
      <c r="LD881" s="808"/>
      <c r="LE881" s="808"/>
      <c r="LF881" s="808"/>
      <c r="LG881" s="808"/>
      <c r="LH881" s="808"/>
      <c r="LI881" s="808"/>
      <c r="LJ881" s="808"/>
      <c r="LK881" s="808"/>
      <c r="LL881" s="808"/>
      <c r="LM881" s="808"/>
      <c r="LN881" s="808"/>
      <c r="LO881" s="808"/>
      <c r="LP881" s="808"/>
      <c r="LQ881" s="808"/>
      <c r="LR881" s="808"/>
      <c r="LS881" s="808"/>
      <c r="LT881" s="808"/>
      <c r="LU881" s="808"/>
      <c r="LV881" s="808"/>
      <c r="LW881" s="808"/>
      <c r="LX881" s="808"/>
      <c r="LY881" s="808"/>
      <c r="LZ881" s="808"/>
      <c r="MA881" s="808"/>
      <c r="MB881" s="808"/>
      <c r="MC881" s="808"/>
      <c r="MD881" s="808"/>
      <c r="ME881" s="808"/>
      <c r="MF881" s="808"/>
      <c r="MG881" s="808"/>
      <c r="MH881" s="808"/>
      <c r="MI881" s="808"/>
      <c r="MJ881" s="808"/>
      <c r="MK881" s="808"/>
      <c r="ML881" s="808"/>
      <c r="MM881" s="808"/>
      <c r="MN881" s="808"/>
      <c r="MO881" s="808"/>
      <c r="MP881" s="808"/>
      <c r="MQ881" s="808"/>
      <c r="MR881" s="808"/>
      <c r="MS881" s="808"/>
      <c r="MT881" s="808"/>
      <c r="MU881" s="808"/>
      <c r="MV881" s="808"/>
      <c r="MW881" s="808"/>
      <c r="MX881" s="808"/>
      <c r="MY881" s="808"/>
      <c r="MZ881" s="808"/>
      <c r="NA881" s="808"/>
      <c r="NB881" s="808"/>
      <c r="NC881" s="808"/>
      <c r="ND881" s="808"/>
      <c r="NE881" s="808"/>
      <c r="NF881" s="808"/>
      <c r="NG881" s="808"/>
      <c r="NH881" s="808"/>
      <c r="NI881" s="808"/>
      <c r="NJ881" s="808"/>
      <c r="NK881" s="808"/>
      <c r="NL881" s="808"/>
      <c r="NM881" s="808"/>
      <c r="NN881" s="808"/>
      <c r="NO881" s="808"/>
      <c r="NP881" s="808"/>
      <c r="NQ881" s="808"/>
      <c r="NR881" s="808"/>
      <c r="NS881" s="808"/>
      <c r="NT881" s="808"/>
      <c r="NU881" s="808"/>
      <c r="NV881" s="808"/>
      <c r="NW881" s="808"/>
      <c r="NX881" s="808"/>
      <c r="NY881" s="808"/>
      <c r="NZ881" s="808"/>
      <c r="OA881" s="808"/>
      <c r="OB881" s="808"/>
      <c r="OC881" s="808"/>
      <c r="OD881" s="808"/>
      <c r="OE881" s="808"/>
      <c r="OF881" s="808"/>
      <c r="OG881" s="808"/>
      <c r="OH881" s="808"/>
      <c r="OI881" s="808"/>
      <c r="OJ881" s="808"/>
      <c r="OK881" s="808"/>
      <c r="OL881" s="808"/>
      <c r="OM881" s="808"/>
      <c r="ON881" s="808"/>
      <c r="OO881" s="808"/>
      <c r="OP881" s="808"/>
      <c r="OQ881" s="808"/>
      <c r="OR881" s="808"/>
      <c r="OS881" s="808"/>
      <c r="OT881" s="808"/>
      <c r="OU881" s="808"/>
      <c r="OV881" s="808"/>
      <c r="OW881" s="808"/>
      <c r="OX881" s="808"/>
      <c r="OY881" s="808"/>
      <c r="OZ881" s="808"/>
      <c r="PA881" s="808"/>
      <c r="PB881" s="808"/>
      <c r="PC881" s="808"/>
      <c r="PD881" s="808"/>
      <c r="PE881" s="808"/>
      <c r="PF881" s="808"/>
      <c r="PG881" s="808"/>
      <c r="PH881" s="808"/>
      <c r="PI881" s="808"/>
      <c r="PJ881" s="808"/>
      <c r="PK881" s="808"/>
      <c r="PL881" s="808"/>
      <c r="PM881" s="808"/>
      <c r="PN881" s="808"/>
      <c r="PO881" s="808"/>
      <c r="PP881" s="808"/>
      <c r="PQ881" s="808"/>
      <c r="PR881" s="808"/>
      <c r="PS881" s="808"/>
      <c r="PT881" s="808"/>
      <c r="PU881" s="808"/>
      <c r="PV881" s="808"/>
      <c r="PW881" s="808"/>
      <c r="PX881" s="808"/>
      <c r="PY881" s="808"/>
      <c r="PZ881" s="808"/>
      <c r="QA881" s="808"/>
      <c r="QB881" s="808"/>
      <c r="QC881" s="808"/>
      <c r="QD881" s="808"/>
      <c r="QE881" s="808"/>
      <c r="QF881" s="808"/>
      <c r="QG881" s="808"/>
      <c r="QH881" s="808"/>
      <c r="QI881" s="808"/>
      <c r="QJ881" s="808"/>
      <c r="QK881" s="808"/>
      <c r="QL881" s="808"/>
      <c r="QM881" s="808"/>
      <c r="QN881" s="808"/>
      <c r="QO881" s="808"/>
      <c r="QP881" s="808"/>
      <c r="QQ881" s="808"/>
      <c r="QR881" s="808"/>
      <c r="QS881" s="808"/>
      <c r="QT881" s="808"/>
      <c r="QU881" s="808"/>
      <c r="QV881" s="808"/>
      <c r="QW881" s="808"/>
      <c r="QX881" s="808"/>
      <c r="QY881" s="808"/>
      <c r="QZ881" s="808"/>
      <c r="RA881" s="808"/>
      <c r="RB881" s="808"/>
      <c r="RC881" s="808"/>
      <c r="RD881" s="808"/>
      <c r="RE881" s="808"/>
      <c r="RF881" s="808"/>
      <c r="RG881" s="808"/>
      <c r="RH881" s="808"/>
      <c r="RI881" s="808"/>
      <c r="RJ881" s="808"/>
      <c r="RK881" s="808"/>
      <c r="RL881" s="808"/>
      <c r="RM881" s="808"/>
      <c r="RN881" s="808"/>
      <c r="RO881" s="808"/>
      <c r="RP881" s="808"/>
      <c r="RQ881" s="808"/>
      <c r="RR881" s="808"/>
      <c r="RS881" s="808"/>
      <c r="RT881" s="808"/>
      <c r="RU881" s="808"/>
      <c r="RV881" s="808"/>
      <c r="RW881" s="808"/>
      <c r="RX881" s="808"/>
      <c r="RY881" s="808"/>
      <c r="RZ881" s="808"/>
      <c r="SA881" s="808"/>
      <c r="SB881" s="808"/>
      <c r="SC881" s="808"/>
      <c r="SD881" s="808"/>
      <c r="SE881" s="808"/>
      <c r="SF881" s="808"/>
      <c r="SG881" s="808"/>
      <c r="SH881" s="808"/>
      <c r="SI881" s="808"/>
      <c r="SJ881" s="808"/>
      <c r="SK881" s="808"/>
      <c r="SL881" s="808"/>
      <c r="SM881" s="808"/>
      <c r="SN881" s="808"/>
      <c r="SO881" s="808"/>
      <c r="SP881" s="808"/>
      <c r="SQ881" s="808"/>
      <c r="SR881" s="808"/>
      <c r="SS881" s="808"/>
      <c r="ST881" s="808"/>
      <c r="SU881" s="808"/>
      <c r="SV881" s="808"/>
      <c r="SW881" s="808"/>
      <c r="SX881" s="808"/>
      <c r="SY881" s="808"/>
      <c r="SZ881" s="808"/>
      <c r="TA881" s="808"/>
      <c r="TB881" s="808"/>
      <c r="TC881" s="808"/>
      <c r="TD881" s="808"/>
      <c r="TE881" s="808"/>
      <c r="TF881" s="808"/>
      <c r="TG881" s="808"/>
      <c r="TH881" s="808"/>
      <c r="TI881" s="808"/>
      <c r="TJ881" s="808"/>
      <c r="TK881" s="808"/>
      <c r="TL881" s="808"/>
      <c r="TM881" s="808"/>
      <c r="TN881" s="808"/>
      <c r="TO881" s="808"/>
      <c r="TP881" s="808"/>
      <c r="TQ881" s="808"/>
      <c r="TR881" s="808"/>
      <c r="TS881" s="808"/>
      <c r="TT881" s="808"/>
      <c r="TU881" s="808"/>
      <c r="TV881" s="808"/>
      <c r="TW881" s="808"/>
      <c r="TX881" s="808"/>
      <c r="TY881" s="808"/>
      <c r="TZ881" s="808"/>
      <c r="UA881" s="808"/>
      <c r="UB881" s="808"/>
      <c r="UC881" s="808"/>
      <c r="UD881" s="808"/>
      <c r="UE881" s="808"/>
      <c r="UF881" s="808"/>
      <c r="UG881" s="808"/>
      <c r="UH881" s="808"/>
      <c r="UI881" s="808"/>
      <c r="UJ881" s="808"/>
      <c r="UK881" s="808"/>
      <c r="UL881" s="808"/>
      <c r="UM881" s="808"/>
      <c r="UN881" s="808"/>
      <c r="UO881" s="808"/>
      <c r="UP881" s="808"/>
      <c r="UQ881" s="808"/>
      <c r="UR881" s="808"/>
      <c r="US881" s="808"/>
      <c r="UT881" s="808"/>
      <c r="UU881" s="808"/>
      <c r="UV881" s="808"/>
      <c r="UW881" s="808"/>
      <c r="UX881" s="808"/>
      <c r="UY881" s="808"/>
      <c r="UZ881" s="808"/>
      <c r="VA881" s="808"/>
      <c r="VB881" s="808"/>
      <c r="VC881" s="808"/>
      <c r="VD881" s="808"/>
      <c r="VE881" s="808"/>
      <c r="VF881" s="808"/>
      <c r="VG881" s="808"/>
      <c r="VH881" s="808"/>
      <c r="VI881" s="808"/>
      <c r="VJ881" s="808"/>
      <c r="VK881" s="808"/>
      <c r="VL881" s="808"/>
      <c r="VM881" s="808"/>
      <c r="VN881" s="808"/>
      <c r="VO881" s="808"/>
      <c r="VP881" s="808"/>
      <c r="VQ881" s="808"/>
      <c r="VR881" s="808"/>
      <c r="VS881" s="808"/>
      <c r="VT881" s="808"/>
      <c r="VU881" s="808"/>
      <c r="VV881" s="808"/>
      <c r="VW881" s="808"/>
      <c r="VX881" s="808"/>
      <c r="VY881" s="808"/>
      <c r="VZ881" s="808"/>
      <c r="WA881" s="808"/>
      <c r="WB881" s="808"/>
      <c r="WC881" s="808"/>
      <c r="WD881" s="808"/>
      <c r="WE881" s="808"/>
      <c r="WF881" s="808"/>
      <c r="WG881" s="808"/>
      <c r="WH881" s="808"/>
      <c r="WI881" s="808"/>
      <c r="WJ881" s="808"/>
      <c r="WK881" s="808"/>
      <c r="WL881" s="808"/>
      <c r="WM881" s="808"/>
      <c r="WN881" s="808"/>
      <c r="WO881" s="808"/>
      <c r="WP881" s="808"/>
      <c r="WQ881" s="808"/>
      <c r="WR881" s="808"/>
      <c r="WS881" s="808"/>
      <c r="WT881" s="808"/>
      <c r="WU881" s="808"/>
      <c r="WV881" s="808"/>
      <c r="WW881" s="808"/>
      <c r="WX881" s="808"/>
      <c r="WY881" s="808"/>
      <c r="WZ881" s="808"/>
      <c r="XA881" s="808"/>
      <c r="XB881" s="808"/>
      <c r="XC881" s="808"/>
      <c r="XD881" s="808"/>
      <c r="XE881" s="808"/>
      <c r="XF881" s="808"/>
      <c r="XG881" s="808"/>
      <c r="XH881" s="808"/>
      <c r="XI881" s="808"/>
      <c r="XJ881" s="808"/>
      <c r="XK881" s="808"/>
      <c r="XL881" s="808"/>
      <c r="XM881" s="808"/>
      <c r="XN881" s="808"/>
      <c r="XO881" s="808"/>
      <c r="XP881" s="808"/>
      <c r="XQ881" s="808"/>
      <c r="XR881" s="808"/>
      <c r="XS881" s="808"/>
      <c r="XT881" s="808"/>
      <c r="XU881" s="808"/>
      <c r="XV881" s="808"/>
      <c r="XW881" s="808"/>
      <c r="XX881" s="808"/>
      <c r="XY881" s="808"/>
      <c r="XZ881" s="808"/>
      <c r="YA881" s="808"/>
      <c r="YB881" s="808"/>
      <c r="YC881" s="808"/>
      <c r="YD881" s="808"/>
      <c r="YE881" s="808"/>
      <c r="YF881" s="808"/>
      <c r="YG881" s="808"/>
      <c r="YH881" s="808"/>
      <c r="YI881" s="808"/>
      <c r="YJ881" s="808"/>
      <c r="YK881" s="808"/>
      <c r="YL881" s="808"/>
      <c r="YM881" s="808"/>
      <c r="YN881" s="808"/>
      <c r="YO881" s="808"/>
      <c r="YP881" s="808"/>
      <c r="YQ881" s="808"/>
      <c r="YR881" s="808"/>
      <c r="YS881" s="808"/>
      <c r="YT881" s="808"/>
      <c r="YU881" s="808"/>
      <c r="YV881" s="808"/>
      <c r="YW881" s="808"/>
      <c r="YX881" s="808"/>
      <c r="YY881" s="808"/>
      <c r="YZ881" s="808"/>
      <c r="ZA881" s="808"/>
      <c r="ZB881" s="808"/>
      <c r="ZC881" s="808"/>
      <c r="ZD881" s="808"/>
      <c r="ZE881" s="808"/>
      <c r="ZF881" s="808"/>
      <c r="ZG881" s="808"/>
      <c r="ZH881" s="808"/>
      <c r="ZI881" s="808"/>
      <c r="ZJ881" s="808"/>
      <c r="ZK881" s="808"/>
      <c r="ZL881" s="808"/>
      <c r="ZM881" s="808"/>
      <c r="ZN881" s="808"/>
      <c r="ZO881" s="808"/>
      <c r="ZP881" s="808"/>
      <c r="ZQ881" s="808"/>
      <c r="ZR881" s="808"/>
      <c r="ZS881" s="808"/>
      <c r="ZT881" s="808"/>
      <c r="ZU881" s="808"/>
      <c r="ZV881" s="808"/>
      <c r="ZW881" s="808"/>
      <c r="ZX881" s="808"/>
      <c r="ZY881" s="808"/>
      <c r="ZZ881" s="808"/>
      <c r="AAA881" s="808"/>
      <c r="AAB881" s="808"/>
      <c r="AAC881" s="808"/>
      <c r="AAD881" s="808"/>
      <c r="AAE881" s="808"/>
      <c r="AAF881" s="808"/>
      <c r="AAG881" s="808"/>
      <c r="AAH881" s="808"/>
      <c r="AAI881" s="808"/>
      <c r="AAJ881" s="808"/>
      <c r="AAK881" s="808"/>
      <c r="AAL881" s="808"/>
      <c r="AAM881" s="808"/>
      <c r="AAN881" s="808"/>
      <c r="AAO881" s="808"/>
      <c r="AAP881" s="808"/>
      <c r="AAQ881" s="808"/>
      <c r="AAR881" s="808"/>
      <c r="AAS881" s="808"/>
      <c r="AAT881" s="808"/>
      <c r="AAU881" s="808"/>
      <c r="AAV881" s="808"/>
      <c r="AAW881" s="808"/>
      <c r="AAX881" s="808"/>
      <c r="AAY881" s="808"/>
      <c r="AAZ881" s="808"/>
      <c r="ABA881" s="808"/>
      <c r="ABB881" s="808"/>
      <c r="ABC881" s="808"/>
      <c r="ABD881" s="808"/>
      <c r="ABE881" s="808"/>
      <c r="ABF881" s="808"/>
      <c r="ABG881" s="808"/>
      <c r="ABH881" s="808"/>
      <c r="ABI881" s="808"/>
      <c r="ABJ881" s="808"/>
      <c r="ABK881" s="808"/>
      <c r="ABL881" s="808"/>
      <c r="ABM881" s="808"/>
      <c r="ABN881" s="808"/>
      <c r="ABO881" s="808"/>
      <c r="ABP881" s="808"/>
      <c r="ABQ881" s="808"/>
      <c r="ABR881" s="808"/>
      <c r="ABS881" s="808"/>
      <c r="ABT881" s="808"/>
      <c r="ABU881" s="808"/>
      <c r="ABV881" s="808"/>
      <c r="ABW881" s="808"/>
      <c r="ABX881" s="808"/>
      <c r="ABY881" s="808"/>
      <c r="ABZ881" s="808"/>
      <c r="ACA881" s="808"/>
      <c r="ACB881" s="808"/>
      <c r="ACC881" s="808"/>
      <c r="ACD881" s="808"/>
      <c r="ACE881" s="808"/>
      <c r="ACF881" s="808"/>
      <c r="ACG881" s="808"/>
      <c r="ACH881" s="808"/>
      <c r="ACI881" s="808"/>
      <c r="ACJ881" s="808"/>
      <c r="ACK881" s="808"/>
      <c r="ACL881" s="808"/>
      <c r="ACM881" s="808"/>
      <c r="ACN881" s="808"/>
      <c r="ACO881" s="808"/>
      <c r="ACP881" s="808"/>
      <c r="ACQ881" s="808"/>
      <c r="ACR881" s="808"/>
      <c r="ACS881" s="808"/>
      <c r="ACT881" s="808"/>
      <c r="ACU881" s="808"/>
      <c r="ACV881" s="808"/>
      <c r="ACW881" s="808"/>
      <c r="ACX881" s="808"/>
      <c r="ACY881" s="808"/>
      <c r="ACZ881" s="808"/>
      <c r="ADA881" s="808"/>
      <c r="ADB881" s="808"/>
      <c r="ADC881" s="808"/>
      <c r="ADD881" s="808"/>
      <c r="ADE881" s="808"/>
      <c r="ADF881" s="808"/>
      <c r="ADG881" s="808"/>
      <c r="ADH881" s="808"/>
      <c r="ADI881" s="808"/>
      <c r="ADJ881" s="808"/>
      <c r="ADK881" s="808"/>
      <c r="ADL881" s="808"/>
      <c r="ADM881" s="808"/>
      <c r="ADN881" s="808"/>
      <c r="ADO881" s="808"/>
      <c r="ADP881" s="808"/>
      <c r="ADQ881" s="808"/>
      <c r="ADR881" s="808"/>
      <c r="ADS881" s="808"/>
      <c r="ADT881" s="808"/>
      <c r="ADU881" s="808"/>
      <c r="ADV881" s="808"/>
      <c r="ADW881" s="808"/>
      <c r="ADX881" s="808"/>
      <c r="ADY881" s="808"/>
      <c r="ADZ881" s="808"/>
      <c r="AEA881" s="808"/>
      <c r="AEB881" s="808"/>
      <c r="AEC881" s="808"/>
      <c r="AED881" s="808"/>
      <c r="AEE881" s="808"/>
      <c r="AEF881" s="808"/>
      <c r="AEG881" s="808"/>
      <c r="AEH881" s="808"/>
      <c r="AEI881" s="808"/>
      <c r="AEJ881" s="808"/>
      <c r="AEK881" s="808"/>
      <c r="AEL881" s="808"/>
      <c r="AEM881" s="808"/>
      <c r="AEN881" s="808"/>
      <c r="AEO881" s="808"/>
      <c r="AEP881" s="808"/>
      <c r="AEQ881" s="808"/>
      <c r="AER881" s="808"/>
      <c r="AES881" s="808"/>
      <c r="AET881" s="808"/>
      <c r="AEU881" s="808"/>
      <c r="AEV881" s="808"/>
      <c r="AEW881" s="808"/>
      <c r="AEX881" s="808"/>
      <c r="AEY881" s="808"/>
      <c r="AEZ881" s="808"/>
      <c r="AFA881" s="808"/>
      <c r="AFB881" s="808"/>
      <c r="AFC881" s="808"/>
      <c r="AFD881" s="808"/>
      <c r="AFE881" s="808"/>
      <c r="AFF881" s="808"/>
      <c r="AFG881" s="808"/>
      <c r="AFH881" s="808"/>
      <c r="AFI881" s="808"/>
      <c r="AFJ881" s="808"/>
      <c r="AFK881" s="808"/>
      <c r="AFL881" s="808"/>
      <c r="AFM881" s="808"/>
      <c r="AFN881" s="808"/>
      <c r="AFO881" s="808"/>
      <c r="AFP881" s="808"/>
      <c r="AFQ881" s="808"/>
      <c r="AFR881" s="808"/>
      <c r="AFS881" s="808"/>
      <c r="AFT881" s="808"/>
      <c r="AFU881" s="808"/>
      <c r="AFV881" s="808"/>
      <c r="AFW881" s="808"/>
      <c r="AFX881" s="808"/>
      <c r="AFY881" s="808"/>
      <c r="AFZ881" s="808"/>
      <c r="AGA881" s="808"/>
      <c r="AGB881" s="808"/>
      <c r="AGC881" s="808"/>
      <c r="AGD881" s="808"/>
      <c r="AGE881" s="808"/>
      <c r="AGF881" s="808"/>
      <c r="AGG881" s="808"/>
      <c r="AGH881" s="808"/>
      <c r="AGI881" s="808"/>
      <c r="AGJ881" s="808"/>
    </row>
    <row r="882" spans="1:868" s="7" customFormat="1" hidden="1">
      <c r="A882" s="609" t="s">
        <v>118</v>
      </c>
      <c r="B882" s="59" t="s">
        <v>434</v>
      </c>
      <c r="C882" s="40" t="s">
        <v>139</v>
      </c>
      <c r="D882" s="34" t="s">
        <v>99</v>
      </c>
      <c r="E882" s="859">
        <v>0.10650572468270171</v>
      </c>
      <c r="F882" s="34">
        <v>2</v>
      </c>
      <c r="G882" s="40" t="s">
        <v>429</v>
      </c>
      <c r="H882" s="29">
        <v>1</v>
      </c>
      <c r="I882" s="9">
        <v>2</v>
      </c>
      <c r="J882" s="9">
        <v>2</v>
      </c>
      <c r="K882" s="9">
        <v>1</v>
      </c>
      <c r="L882" s="9">
        <v>1</v>
      </c>
      <c r="M882" s="9">
        <v>2</v>
      </c>
      <c r="N882" s="185">
        <f t="shared" si="66"/>
        <v>0.35859414261160716</v>
      </c>
      <c r="O882" s="159">
        <f t="shared" si="65"/>
        <v>0.37356464144298934</v>
      </c>
      <c r="P882" s="63"/>
      <c r="Q882" s="808"/>
      <c r="R882" s="808"/>
      <c r="S882" s="808"/>
      <c r="T882" s="808"/>
      <c r="U882" s="808"/>
      <c r="V882" s="808"/>
      <c r="W882" s="808"/>
      <c r="X882" s="808"/>
      <c r="Y882" s="808"/>
      <c r="Z882" s="808"/>
      <c r="AA882" s="808"/>
      <c r="AB882" s="808"/>
      <c r="AC882" s="808"/>
      <c r="AD882" s="808"/>
      <c r="AE882" s="808"/>
      <c r="AF882" s="808"/>
      <c r="AG882" s="808"/>
      <c r="AH882" s="808"/>
      <c r="AI882" s="808"/>
      <c r="AJ882" s="808"/>
      <c r="AK882" s="808"/>
      <c r="AL882" s="808"/>
      <c r="AM882" s="808"/>
      <c r="AN882" s="808"/>
      <c r="AO882" s="808"/>
      <c r="AP882" s="808"/>
      <c r="AQ882" s="808"/>
      <c r="AR882" s="808"/>
      <c r="AS882" s="808"/>
      <c r="AT882" s="808"/>
      <c r="AU882" s="808"/>
      <c r="AV882" s="808"/>
      <c r="AW882" s="808"/>
      <c r="AX882" s="808"/>
      <c r="AY882" s="808"/>
      <c r="AZ882" s="808"/>
      <c r="BA882" s="808"/>
      <c r="BB882" s="808"/>
      <c r="BC882" s="808"/>
      <c r="BD882" s="808"/>
      <c r="BE882" s="808"/>
      <c r="BF882" s="808"/>
      <c r="BG882" s="808"/>
      <c r="BH882" s="808"/>
      <c r="BI882" s="808"/>
      <c r="BJ882" s="808"/>
      <c r="BK882" s="808"/>
      <c r="BL882" s="808"/>
      <c r="BM882" s="808"/>
      <c r="BN882" s="808"/>
      <c r="BO882" s="808"/>
      <c r="BP882" s="808"/>
      <c r="BQ882" s="808"/>
      <c r="BR882" s="808"/>
      <c r="BS882" s="808"/>
      <c r="BT882" s="808"/>
      <c r="BU882" s="808"/>
      <c r="BV882" s="808"/>
      <c r="BW882" s="808"/>
      <c r="BX882" s="808"/>
      <c r="BY882" s="808"/>
      <c r="BZ882" s="808"/>
      <c r="CA882" s="808"/>
      <c r="CB882" s="808"/>
      <c r="CC882" s="808"/>
      <c r="CD882" s="808"/>
      <c r="CE882" s="808"/>
      <c r="CF882" s="808"/>
      <c r="CG882" s="808"/>
      <c r="CH882" s="808"/>
      <c r="CI882" s="808"/>
      <c r="CJ882" s="808"/>
      <c r="CK882" s="808"/>
      <c r="CL882" s="808"/>
      <c r="CM882" s="808"/>
      <c r="CN882" s="808"/>
      <c r="CO882" s="808"/>
      <c r="CP882" s="808"/>
      <c r="CQ882" s="808"/>
      <c r="CR882" s="808"/>
      <c r="CS882" s="808"/>
      <c r="CT882" s="808"/>
      <c r="CU882" s="808"/>
      <c r="CV882" s="808"/>
      <c r="CW882" s="808"/>
      <c r="CX882" s="808"/>
      <c r="CY882" s="808"/>
      <c r="CZ882" s="808"/>
      <c r="DA882" s="808"/>
      <c r="DB882" s="808"/>
      <c r="DC882" s="808"/>
      <c r="DD882" s="808"/>
      <c r="DE882" s="808"/>
      <c r="DF882" s="808"/>
      <c r="DG882" s="808"/>
      <c r="DH882" s="808"/>
      <c r="DI882" s="808"/>
      <c r="DJ882" s="808"/>
      <c r="DK882" s="808"/>
      <c r="DL882" s="808"/>
      <c r="DM882" s="808"/>
      <c r="DN882" s="808"/>
      <c r="DO882" s="808"/>
      <c r="DP882" s="808"/>
      <c r="DQ882" s="808"/>
      <c r="DR882" s="808"/>
      <c r="DS882" s="808"/>
      <c r="DT882" s="808"/>
      <c r="DU882" s="808"/>
      <c r="DV882" s="808"/>
      <c r="DW882" s="808"/>
      <c r="DX882" s="808"/>
      <c r="DY882" s="808"/>
      <c r="DZ882" s="808"/>
      <c r="EA882" s="808"/>
      <c r="EB882" s="808"/>
      <c r="EC882" s="808"/>
      <c r="ED882" s="808"/>
      <c r="EE882" s="808"/>
      <c r="EF882" s="808"/>
      <c r="EG882" s="808"/>
      <c r="EH882" s="808"/>
      <c r="EI882" s="808"/>
      <c r="EJ882" s="808"/>
      <c r="EK882" s="808"/>
      <c r="EL882" s="808"/>
      <c r="EM882" s="808"/>
      <c r="EN882" s="808"/>
      <c r="EO882" s="808"/>
      <c r="EP882" s="808"/>
      <c r="EQ882" s="808"/>
      <c r="ER882" s="808"/>
      <c r="ES882" s="808"/>
      <c r="ET882" s="808"/>
      <c r="EU882" s="808"/>
      <c r="EV882" s="808"/>
      <c r="EW882" s="808"/>
      <c r="EX882" s="808"/>
      <c r="EY882" s="808"/>
      <c r="EZ882" s="808"/>
      <c r="FA882" s="808"/>
      <c r="FB882" s="808"/>
      <c r="FC882" s="808"/>
      <c r="FD882" s="808"/>
      <c r="FE882" s="808"/>
      <c r="FF882" s="808"/>
      <c r="FG882" s="808"/>
      <c r="FH882" s="808"/>
      <c r="FI882" s="808"/>
      <c r="FJ882" s="808"/>
      <c r="FK882" s="808"/>
      <c r="FL882" s="808"/>
      <c r="FM882" s="808"/>
      <c r="FN882" s="808"/>
      <c r="FO882" s="808"/>
      <c r="FP882" s="808"/>
      <c r="FQ882" s="808"/>
      <c r="FR882" s="808"/>
      <c r="FS882" s="808"/>
      <c r="FT882" s="808"/>
      <c r="FU882" s="808"/>
      <c r="FV882" s="808"/>
      <c r="FW882" s="808"/>
      <c r="FX882" s="808"/>
      <c r="FY882" s="808"/>
      <c r="FZ882" s="808"/>
      <c r="GA882" s="808"/>
      <c r="GB882" s="808"/>
      <c r="GC882" s="808"/>
      <c r="GD882" s="808"/>
      <c r="GE882" s="808"/>
      <c r="GF882" s="808"/>
      <c r="GG882" s="808"/>
      <c r="GH882" s="808"/>
      <c r="GI882" s="808"/>
      <c r="GJ882" s="808"/>
      <c r="GK882" s="808"/>
      <c r="GL882" s="808"/>
      <c r="GM882" s="808"/>
      <c r="GN882" s="808"/>
      <c r="GO882" s="808"/>
      <c r="GP882" s="808"/>
      <c r="GQ882" s="808"/>
      <c r="GR882" s="808"/>
      <c r="GS882" s="808"/>
      <c r="GT882" s="808"/>
      <c r="GU882" s="808"/>
      <c r="GV882" s="808"/>
      <c r="GW882" s="808"/>
      <c r="GX882" s="808"/>
      <c r="GY882" s="808"/>
      <c r="GZ882" s="808"/>
      <c r="HA882" s="808"/>
      <c r="HB882" s="808"/>
      <c r="HC882" s="808"/>
      <c r="HD882" s="808"/>
      <c r="HE882" s="808"/>
      <c r="HF882" s="808"/>
      <c r="HG882" s="808"/>
      <c r="HH882" s="808"/>
      <c r="HI882" s="808"/>
      <c r="HJ882" s="808"/>
      <c r="HK882" s="808"/>
      <c r="HL882" s="808"/>
      <c r="HM882" s="808"/>
      <c r="HN882" s="808"/>
      <c r="HO882" s="808"/>
      <c r="HP882" s="808"/>
      <c r="HQ882" s="808"/>
      <c r="HR882" s="808"/>
      <c r="HS882" s="808"/>
      <c r="HT882" s="808"/>
      <c r="HU882" s="808"/>
      <c r="HV882" s="808"/>
      <c r="HW882" s="808"/>
      <c r="HX882" s="808"/>
      <c r="HY882" s="808"/>
      <c r="HZ882" s="808"/>
      <c r="IA882" s="808"/>
      <c r="IB882" s="808"/>
      <c r="IC882" s="808"/>
      <c r="ID882" s="808"/>
      <c r="IE882" s="808"/>
      <c r="IF882" s="808"/>
      <c r="IG882" s="808"/>
      <c r="IH882" s="808"/>
      <c r="II882" s="808"/>
      <c r="IJ882" s="808"/>
      <c r="IK882" s="808"/>
      <c r="IL882" s="808"/>
      <c r="IM882" s="808"/>
      <c r="IN882" s="808"/>
      <c r="IO882" s="808"/>
      <c r="IP882" s="808"/>
      <c r="IQ882" s="808"/>
      <c r="IR882" s="808"/>
      <c r="IS882" s="808"/>
      <c r="IT882" s="808"/>
      <c r="IU882" s="808"/>
      <c r="IV882" s="808"/>
      <c r="IW882" s="808"/>
      <c r="IX882" s="808"/>
      <c r="IY882" s="808"/>
      <c r="IZ882" s="808"/>
      <c r="JA882" s="808"/>
      <c r="JB882" s="808"/>
      <c r="JC882" s="808"/>
      <c r="JD882" s="808"/>
      <c r="JE882" s="808"/>
      <c r="JF882" s="808"/>
      <c r="JG882" s="808"/>
      <c r="JH882" s="808"/>
      <c r="JI882" s="808"/>
      <c r="JJ882" s="808"/>
      <c r="JK882" s="808"/>
      <c r="JL882" s="808"/>
      <c r="JM882" s="808"/>
      <c r="JN882" s="808"/>
      <c r="JO882" s="808"/>
      <c r="JP882" s="808"/>
      <c r="JQ882" s="808"/>
      <c r="JR882" s="808"/>
      <c r="JS882" s="808"/>
      <c r="JT882" s="808"/>
      <c r="JU882" s="808"/>
      <c r="JV882" s="808"/>
      <c r="JW882" s="808"/>
      <c r="JX882" s="808"/>
      <c r="JY882" s="808"/>
      <c r="JZ882" s="808"/>
      <c r="KA882" s="808"/>
      <c r="KB882" s="808"/>
      <c r="KC882" s="808"/>
      <c r="KD882" s="808"/>
      <c r="KE882" s="808"/>
      <c r="KF882" s="808"/>
      <c r="KG882" s="808"/>
      <c r="KH882" s="808"/>
      <c r="KI882" s="808"/>
      <c r="KJ882" s="808"/>
      <c r="KK882" s="808"/>
      <c r="KL882" s="808"/>
      <c r="KM882" s="808"/>
      <c r="KN882" s="808"/>
      <c r="KO882" s="808"/>
      <c r="KP882" s="808"/>
      <c r="KQ882" s="808"/>
      <c r="KR882" s="808"/>
      <c r="KS882" s="808"/>
      <c r="KT882" s="808"/>
      <c r="KU882" s="808"/>
      <c r="KV882" s="808"/>
      <c r="KW882" s="808"/>
      <c r="KX882" s="808"/>
      <c r="KY882" s="808"/>
      <c r="KZ882" s="808"/>
      <c r="LA882" s="808"/>
      <c r="LB882" s="808"/>
      <c r="LC882" s="808"/>
      <c r="LD882" s="808"/>
      <c r="LE882" s="808"/>
      <c r="LF882" s="808"/>
      <c r="LG882" s="808"/>
      <c r="LH882" s="808"/>
      <c r="LI882" s="808"/>
      <c r="LJ882" s="808"/>
      <c r="LK882" s="808"/>
      <c r="LL882" s="808"/>
      <c r="LM882" s="808"/>
      <c r="LN882" s="808"/>
      <c r="LO882" s="808"/>
      <c r="LP882" s="808"/>
      <c r="LQ882" s="808"/>
      <c r="LR882" s="808"/>
      <c r="LS882" s="808"/>
      <c r="LT882" s="808"/>
      <c r="LU882" s="808"/>
      <c r="LV882" s="808"/>
      <c r="LW882" s="808"/>
      <c r="LX882" s="808"/>
      <c r="LY882" s="808"/>
      <c r="LZ882" s="808"/>
      <c r="MA882" s="808"/>
      <c r="MB882" s="808"/>
      <c r="MC882" s="808"/>
      <c r="MD882" s="808"/>
      <c r="ME882" s="808"/>
      <c r="MF882" s="808"/>
      <c r="MG882" s="808"/>
      <c r="MH882" s="808"/>
      <c r="MI882" s="808"/>
      <c r="MJ882" s="808"/>
      <c r="MK882" s="808"/>
      <c r="ML882" s="808"/>
      <c r="MM882" s="808"/>
      <c r="MN882" s="808"/>
      <c r="MO882" s="808"/>
      <c r="MP882" s="808"/>
      <c r="MQ882" s="808"/>
      <c r="MR882" s="808"/>
      <c r="MS882" s="808"/>
      <c r="MT882" s="808"/>
      <c r="MU882" s="808"/>
      <c r="MV882" s="808"/>
      <c r="MW882" s="808"/>
      <c r="MX882" s="808"/>
      <c r="MY882" s="808"/>
      <c r="MZ882" s="808"/>
      <c r="NA882" s="808"/>
      <c r="NB882" s="808"/>
      <c r="NC882" s="808"/>
      <c r="ND882" s="808"/>
      <c r="NE882" s="808"/>
      <c r="NF882" s="808"/>
      <c r="NG882" s="808"/>
      <c r="NH882" s="808"/>
      <c r="NI882" s="808"/>
      <c r="NJ882" s="808"/>
      <c r="NK882" s="808"/>
      <c r="NL882" s="808"/>
      <c r="NM882" s="808"/>
      <c r="NN882" s="808"/>
      <c r="NO882" s="808"/>
      <c r="NP882" s="808"/>
      <c r="NQ882" s="808"/>
      <c r="NR882" s="808"/>
      <c r="NS882" s="808"/>
      <c r="NT882" s="808"/>
      <c r="NU882" s="808"/>
      <c r="NV882" s="808"/>
      <c r="NW882" s="808"/>
      <c r="NX882" s="808"/>
      <c r="NY882" s="808"/>
      <c r="NZ882" s="808"/>
      <c r="OA882" s="808"/>
      <c r="OB882" s="808"/>
      <c r="OC882" s="808"/>
      <c r="OD882" s="808"/>
      <c r="OE882" s="808"/>
      <c r="OF882" s="808"/>
      <c r="OG882" s="808"/>
      <c r="OH882" s="808"/>
      <c r="OI882" s="808"/>
      <c r="OJ882" s="808"/>
      <c r="OK882" s="808"/>
      <c r="OL882" s="808"/>
      <c r="OM882" s="808"/>
      <c r="ON882" s="808"/>
      <c r="OO882" s="808"/>
      <c r="OP882" s="808"/>
      <c r="OQ882" s="808"/>
      <c r="OR882" s="808"/>
      <c r="OS882" s="808"/>
      <c r="OT882" s="808"/>
      <c r="OU882" s="808"/>
      <c r="OV882" s="808"/>
      <c r="OW882" s="808"/>
      <c r="OX882" s="808"/>
      <c r="OY882" s="808"/>
      <c r="OZ882" s="808"/>
      <c r="PA882" s="808"/>
      <c r="PB882" s="808"/>
      <c r="PC882" s="808"/>
      <c r="PD882" s="808"/>
      <c r="PE882" s="808"/>
      <c r="PF882" s="808"/>
      <c r="PG882" s="808"/>
      <c r="PH882" s="808"/>
      <c r="PI882" s="808"/>
      <c r="PJ882" s="808"/>
      <c r="PK882" s="808"/>
      <c r="PL882" s="808"/>
      <c r="PM882" s="808"/>
      <c r="PN882" s="808"/>
      <c r="PO882" s="808"/>
      <c r="PP882" s="808"/>
      <c r="PQ882" s="808"/>
      <c r="PR882" s="808"/>
      <c r="PS882" s="808"/>
      <c r="PT882" s="808"/>
      <c r="PU882" s="808"/>
      <c r="PV882" s="808"/>
      <c r="PW882" s="808"/>
      <c r="PX882" s="808"/>
      <c r="PY882" s="808"/>
      <c r="PZ882" s="808"/>
      <c r="QA882" s="808"/>
      <c r="QB882" s="808"/>
      <c r="QC882" s="808"/>
      <c r="QD882" s="808"/>
      <c r="QE882" s="808"/>
      <c r="QF882" s="808"/>
      <c r="QG882" s="808"/>
      <c r="QH882" s="808"/>
      <c r="QI882" s="808"/>
      <c r="QJ882" s="808"/>
      <c r="QK882" s="808"/>
      <c r="QL882" s="808"/>
      <c r="QM882" s="808"/>
      <c r="QN882" s="808"/>
      <c r="QO882" s="808"/>
      <c r="QP882" s="808"/>
      <c r="QQ882" s="808"/>
      <c r="QR882" s="808"/>
      <c r="QS882" s="808"/>
      <c r="QT882" s="808"/>
      <c r="QU882" s="808"/>
      <c r="QV882" s="808"/>
      <c r="QW882" s="808"/>
      <c r="QX882" s="808"/>
      <c r="QY882" s="808"/>
      <c r="QZ882" s="808"/>
      <c r="RA882" s="808"/>
      <c r="RB882" s="808"/>
      <c r="RC882" s="808"/>
      <c r="RD882" s="808"/>
      <c r="RE882" s="808"/>
      <c r="RF882" s="808"/>
      <c r="RG882" s="808"/>
      <c r="RH882" s="808"/>
      <c r="RI882" s="808"/>
      <c r="RJ882" s="808"/>
      <c r="RK882" s="808"/>
      <c r="RL882" s="808"/>
      <c r="RM882" s="808"/>
      <c r="RN882" s="808"/>
      <c r="RO882" s="808"/>
      <c r="RP882" s="808"/>
      <c r="RQ882" s="808"/>
      <c r="RR882" s="808"/>
      <c r="RS882" s="808"/>
      <c r="RT882" s="808"/>
      <c r="RU882" s="808"/>
      <c r="RV882" s="808"/>
      <c r="RW882" s="808"/>
      <c r="RX882" s="808"/>
      <c r="RY882" s="808"/>
      <c r="RZ882" s="808"/>
      <c r="SA882" s="808"/>
      <c r="SB882" s="808"/>
      <c r="SC882" s="808"/>
      <c r="SD882" s="808"/>
      <c r="SE882" s="808"/>
      <c r="SF882" s="808"/>
      <c r="SG882" s="808"/>
      <c r="SH882" s="808"/>
      <c r="SI882" s="808"/>
      <c r="SJ882" s="808"/>
      <c r="SK882" s="808"/>
      <c r="SL882" s="808"/>
      <c r="SM882" s="808"/>
      <c r="SN882" s="808"/>
      <c r="SO882" s="808"/>
      <c r="SP882" s="808"/>
      <c r="SQ882" s="808"/>
      <c r="SR882" s="808"/>
      <c r="SS882" s="808"/>
      <c r="ST882" s="808"/>
      <c r="SU882" s="808"/>
      <c r="SV882" s="808"/>
      <c r="SW882" s="808"/>
      <c r="SX882" s="808"/>
      <c r="SY882" s="808"/>
      <c r="SZ882" s="808"/>
      <c r="TA882" s="808"/>
      <c r="TB882" s="808"/>
      <c r="TC882" s="808"/>
      <c r="TD882" s="808"/>
      <c r="TE882" s="808"/>
      <c r="TF882" s="808"/>
      <c r="TG882" s="808"/>
      <c r="TH882" s="808"/>
      <c r="TI882" s="808"/>
      <c r="TJ882" s="808"/>
      <c r="TK882" s="808"/>
      <c r="TL882" s="808"/>
      <c r="TM882" s="808"/>
      <c r="TN882" s="808"/>
      <c r="TO882" s="808"/>
      <c r="TP882" s="808"/>
      <c r="TQ882" s="808"/>
      <c r="TR882" s="808"/>
      <c r="TS882" s="808"/>
      <c r="TT882" s="808"/>
      <c r="TU882" s="808"/>
      <c r="TV882" s="808"/>
      <c r="TW882" s="808"/>
      <c r="TX882" s="808"/>
      <c r="TY882" s="808"/>
      <c r="TZ882" s="808"/>
      <c r="UA882" s="808"/>
      <c r="UB882" s="808"/>
      <c r="UC882" s="808"/>
      <c r="UD882" s="808"/>
      <c r="UE882" s="808"/>
      <c r="UF882" s="808"/>
      <c r="UG882" s="808"/>
      <c r="UH882" s="808"/>
      <c r="UI882" s="808"/>
      <c r="UJ882" s="808"/>
      <c r="UK882" s="808"/>
      <c r="UL882" s="808"/>
      <c r="UM882" s="808"/>
      <c r="UN882" s="808"/>
      <c r="UO882" s="808"/>
      <c r="UP882" s="808"/>
      <c r="UQ882" s="808"/>
      <c r="UR882" s="808"/>
      <c r="US882" s="808"/>
      <c r="UT882" s="808"/>
      <c r="UU882" s="808"/>
      <c r="UV882" s="808"/>
      <c r="UW882" s="808"/>
      <c r="UX882" s="808"/>
      <c r="UY882" s="808"/>
      <c r="UZ882" s="808"/>
      <c r="VA882" s="808"/>
      <c r="VB882" s="808"/>
      <c r="VC882" s="808"/>
      <c r="VD882" s="808"/>
      <c r="VE882" s="808"/>
      <c r="VF882" s="808"/>
      <c r="VG882" s="808"/>
      <c r="VH882" s="808"/>
      <c r="VI882" s="808"/>
      <c r="VJ882" s="808"/>
      <c r="VK882" s="808"/>
      <c r="VL882" s="808"/>
      <c r="VM882" s="808"/>
      <c r="VN882" s="808"/>
      <c r="VO882" s="808"/>
      <c r="VP882" s="808"/>
      <c r="VQ882" s="808"/>
      <c r="VR882" s="808"/>
      <c r="VS882" s="808"/>
      <c r="VT882" s="808"/>
      <c r="VU882" s="808"/>
      <c r="VV882" s="808"/>
      <c r="VW882" s="808"/>
      <c r="VX882" s="808"/>
      <c r="VY882" s="808"/>
      <c r="VZ882" s="808"/>
      <c r="WA882" s="808"/>
      <c r="WB882" s="808"/>
      <c r="WC882" s="808"/>
      <c r="WD882" s="808"/>
      <c r="WE882" s="808"/>
      <c r="WF882" s="808"/>
      <c r="WG882" s="808"/>
      <c r="WH882" s="808"/>
      <c r="WI882" s="808"/>
      <c r="WJ882" s="808"/>
      <c r="WK882" s="808"/>
      <c r="WL882" s="808"/>
      <c r="WM882" s="808"/>
      <c r="WN882" s="808"/>
      <c r="WO882" s="808"/>
      <c r="WP882" s="808"/>
      <c r="WQ882" s="808"/>
      <c r="WR882" s="808"/>
      <c r="WS882" s="808"/>
      <c r="WT882" s="808"/>
      <c r="WU882" s="808"/>
      <c r="WV882" s="808"/>
      <c r="WW882" s="808"/>
      <c r="WX882" s="808"/>
      <c r="WY882" s="808"/>
      <c r="WZ882" s="808"/>
      <c r="XA882" s="808"/>
      <c r="XB882" s="808"/>
      <c r="XC882" s="808"/>
      <c r="XD882" s="808"/>
      <c r="XE882" s="808"/>
      <c r="XF882" s="808"/>
      <c r="XG882" s="808"/>
      <c r="XH882" s="808"/>
      <c r="XI882" s="808"/>
      <c r="XJ882" s="808"/>
      <c r="XK882" s="808"/>
      <c r="XL882" s="808"/>
      <c r="XM882" s="808"/>
      <c r="XN882" s="808"/>
      <c r="XO882" s="808"/>
      <c r="XP882" s="808"/>
      <c r="XQ882" s="808"/>
      <c r="XR882" s="808"/>
      <c r="XS882" s="808"/>
      <c r="XT882" s="808"/>
      <c r="XU882" s="808"/>
      <c r="XV882" s="808"/>
      <c r="XW882" s="808"/>
      <c r="XX882" s="808"/>
      <c r="XY882" s="808"/>
      <c r="XZ882" s="808"/>
      <c r="YA882" s="808"/>
      <c r="YB882" s="808"/>
      <c r="YC882" s="808"/>
      <c r="YD882" s="808"/>
      <c r="YE882" s="808"/>
      <c r="YF882" s="808"/>
      <c r="YG882" s="808"/>
      <c r="YH882" s="808"/>
      <c r="YI882" s="808"/>
      <c r="YJ882" s="808"/>
      <c r="YK882" s="808"/>
      <c r="YL882" s="808"/>
      <c r="YM882" s="808"/>
      <c r="YN882" s="808"/>
      <c r="YO882" s="808"/>
      <c r="YP882" s="808"/>
      <c r="YQ882" s="808"/>
      <c r="YR882" s="808"/>
      <c r="YS882" s="808"/>
      <c r="YT882" s="808"/>
      <c r="YU882" s="808"/>
      <c r="YV882" s="808"/>
      <c r="YW882" s="808"/>
      <c r="YX882" s="808"/>
      <c r="YY882" s="808"/>
      <c r="YZ882" s="808"/>
      <c r="ZA882" s="808"/>
      <c r="ZB882" s="808"/>
      <c r="ZC882" s="808"/>
      <c r="ZD882" s="808"/>
      <c r="ZE882" s="808"/>
      <c r="ZF882" s="808"/>
      <c r="ZG882" s="808"/>
      <c r="ZH882" s="808"/>
      <c r="ZI882" s="808"/>
      <c r="ZJ882" s="808"/>
      <c r="ZK882" s="808"/>
      <c r="ZL882" s="808"/>
      <c r="ZM882" s="808"/>
      <c r="ZN882" s="808"/>
      <c r="ZO882" s="808"/>
      <c r="ZP882" s="808"/>
      <c r="ZQ882" s="808"/>
      <c r="ZR882" s="808"/>
      <c r="ZS882" s="808"/>
      <c r="ZT882" s="808"/>
      <c r="ZU882" s="808"/>
      <c r="ZV882" s="808"/>
      <c r="ZW882" s="808"/>
      <c r="ZX882" s="808"/>
      <c r="ZY882" s="808"/>
      <c r="ZZ882" s="808"/>
      <c r="AAA882" s="808"/>
      <c r="AAB882" s="808"/>
      <c r="AAC882" s="808"/>
      <c r="AAD882" s="808"/>
      <c r="AAE882" s="808"/>
      <c r="AAF882" s="808"/>
      <c r="AAG882" s="808"/>
      <c r="AAH882" s="808"/>
      <c r="AAI882" s="808"/>
      <c r="AAJ882" s="808"/>
      <c r="AAK882" s="808"/>
      <c r="AAL882" s="808"/>
      <c r="AAM882" s="808"/>
      <c r="AAN882" s="808"/>
      <c r="AAO882" s="808"/>
      <c r="AAP882" s="808"/>
      <c r="AAQ882" s="808"/>
      <c r="AAR882" s="808"/>
      <c r="AAS882" s="808"/>
      <c r="AAT882" s="808"/>
      <c r="AAU882" s="808"/>
      <c r="AAV882" s="808"/>
      <c r="AAW882" s="808"/>
      <c r="AAX882" s="808"/>
      <c r="AAY882" s="808"/>
      <c r="AAZ882" s="808"/>
      <c r="ABA882" s="808"/>
      <c r="ABB882" s="808"/>
      <c r="ABC882" s="808"/>
      <c r="ABD882" s="808"/>
      <c r="ABE882" s="808"/>
      <c r="ABF882" s="808"/>
      <c r="ABG882" s="808"/>
      <c r="ABH882" s="808"/>
      <c r="ABI882" s="808"/>
      <c r="ABJ882" s="808"/>
      <c r="ABK882" s="808"/>
      <c r="ABL882" s="808"/>
      <c r="ABM882" s="808"/>
      <c r="ABN882" s="808"/>
      <c r="ABO882" s="808"/>
      <c r="ABP882" s="808"/>
      <c r="ABQ882" s="808"/>
      <c r="ABR882" s="808"/>
      <c r="ABS882" s="808"/>
      <c r="ABT882" s="808"/>
      <c r="ABU882" s="808"/>
      <c r="ABV882" s="808"/>
      <c r="ABW882" s="808"/>
      <c r="ABX882" s="808"/>
      <c r="ABY882" s="808"/>
      <c r="ABZ882" s="808"/>
      <c r="ACA882" s="808"/>
      <c r="ACB882" s="808"/>
      <c r="ACC882" s="808"/>
      <c r="ACD882" s="808"/>
      <c r="ACE882" s="808"/>
      <c r="ACF882" s="808"/>
      <c r="ACG882" s="808"/>
      <c r="ACH882" s="808"/>
      <c r="ACI882" s="808"/>
      <c r="ACJ882" s="808"/>
      <c r="ACK882" s="808"/>
      <c r="ACL882" s="808"/>
      <c r="ACM882" s="808"/>
      <c r="ACN882" s="808"/>
      <c r="ACO882" s="808"/>
      <c r="ACP882" s="808"/>
      <c r="ACQ882" s="808"/>
      <c r="ACR882" s="808"/>
      <c r="ACS882" s="808"/>
      <c r="ACT882" s="808"/>
      <c r="ACU882" s="808"/>
      <c r="ACV882" s="808"/>
      <c r="ACW882" s="808"/>
      <c r="ACX882" s="808"/>
      <c r="ACY882" s="808"/>
      <c r="ACZ882" s="808"/>
      <c r="ADA882" s="808"/>
      <c r="ADB882" s="808"/>
      <c r="ADC882" s="808"/>
      <c r="ADD882" s="808"/>
      <c r="ADE882" s="808"/>
      <c r="ADF882" s="808"/>
      <c r="ADG882" s="808"/>
      <c r="ADH882" s="808"/>
      <c r="ADI882" s="808"/>
      <c r="ADJ882" s="808"/>
      <c r="ADK882" s="808"/>
      <c r="ADL882" s="808"/>
      <c r="ADM882" s="808"/>
      <c r="ADN882" s="808"/>
      <c r="ADO882" s="808"/>
      <c r="ADP882" s="808"/>
      <c r="ADQ882" s="808"/>
      <c r="ADR882" s="808"/>
      <c r="ADS882" s="808"/>
      <c r="ADT882" s="808"/>
      <c r="ADU882" s="808"/>
      <c r="ADV882" s="808"/>
      <c r="ADW882" s="808"/>
      <c r="ADX882" s="808"/>
      <c r="ADY882" s="808"/>
      <c r="ADZ882" s="808"/>
      <c r="AEA882" s="808"/>
      <c r="AEB882" s="808"/>
      <c r="AEC882" s="808"/>
      <c r="AED882" s="808"/>
      <c r="AEE882" s="808"/>
      <c r="AEF882" s="808"/>
      <c r="AEG882" s="808"/>
      <c r="AEH882" s="808"/>
      <c r="AEI882" s="808"/>
      <c r="AEJ882" s="808"/>
      <c r="AEK882" s="808"/>
      <c r="AEL882" s="808"/>
      <c r="AEM882" s="808"/>
      <c r="AEN882" s="808"/>
      <c r="AEO882" s="808"/>
      <c r="AEP882" s="808"/>
      <c r="AEQ882" s="808"/>
      <c r="AER882" s="808"/>
      <c r="AES882" s="808"/>
      <c r="AET882" s="808"/>
      <c r="AEU882" s="808"/>
      <c r="AEV882" s="808"/>
      <c r="AEW882" s="808"/>
      <c r="AEX882" s="808"/>
      <c r="AEY882" s="808"/>
      <c r="AEZ882" s="808"/>
      <c r="AFA882" s="808"/>
      <c r="AFB882" s="808"/>
      <c r="AFC882" s="808"/>
      <c r="AFD882" s="808"/>
      <c r="AFE882" s="808"/>
      <c r="AFF882" s="808"/>
      <c r="AFG882" s="808"/>
      <c r="AFH882" s="808"/>
      <c r="AFI882" s="808"/>
      <c r="AFJ882" s="808"/>
      <c r="AFK882" s="808"/>
      <c r="AFL882" s="808"/>
      <c r="AFM882" s="808"/>
      <c r="AFN882" s="808"/>
      <c r="AFO882" s="808"/>
      <c r="AFP882" s="808"/>
      <c r="AFQ882" s="808"/>
      <c r="AFR882" s="808"/>
      <c r="AFS882" s="808"/>
      <c r="AFT882" s="808"/>
      <c r="AFU882" s="808"/>
      <c r="AFV882" s="808"/>
      <c r="AFW882" s="808"/>
      <c r="AFX882" s="808"/>
      <c r="AFY882" s="808"/>
      <c r="AFZ882" s="808"/>
      <c r="AGA882" s="808"/>
      <c r="AGB882" s="808"/>
      <c r="AGC882" s="808"/>
      <c r="AGD882" s="808"/>
      <c r="AGE882" s="808"/>
      <c r="AGF882" s="808"/>
      <c r="AGG882" s="808"/>
      <c r="AGH882" s="808"/>
      <c r="AGI882" s="808"/>
      <c r="AGJ882" s="808"/>
    </row>
    <row r="883" spans="1:868" s="7" customFormat="1" hidden="1">
      <c r="A883" s="609" t="s">
        <v>118</v>
      </c>
      <c r="B883" s="59" t="s">
        <v>435</v>
      </c>
      <c r="C883" s="40" t="s">
        <v>139</v>
      </c>
      <c r="D883" s="34" t="s">
        <v>99</v>
      </c>
      <c r="E883" s="859">
        <v>8.5204579746161357E-2</v>
      </c>
      <c r="F883" s="34">
        <v>2</v>
      </c>
      <c r="G883" s="40" t="s">
        <v>429</v>
      </c>
      <c r="H883" s="29">
        <v>1</v>
      </c>
      <c r="I883" s="9">
        <v>2</v>
      </c>
      <c r="J883" s="9">
        <v>2</v>
      </c>
      <c r="K883" s="9">
        <v>1</v>
      </c>
      <c r="L883" s="9">
        <v>1</v>
      </c>
      <c r="M883" s="9">
        <v>2</v>
      </c>
      <c r="N883" s="185">
        <f t="shared" si="66"/>
        <v>0.35859414261160716</v>
      </c>
      <c r="O883" s="159">
        <f t="shared" si="65"/>
        <v>0.37356464144298934</v>
      </c>
      <c r="P883" s="63"/>
      <c r="Q883" s="808"/>
      <c r="R883" s="808"/>
      <c r="S883" s="808"/>
      <c r="T883" s="808"/>
      <c r="U883" s="808"/>
      <c r="V883" s="808"/>
      <c r="W883" s="808"/>
      <c r="X883" s="808"/>
      <c r="Y883" s="808"/>
      <c r="Z883" s="808"/>
      <c r="AA883" s="808"/>
      <c r="AB883" s="808"/>
      <c r="AC883" s="808"/>
      <c r="AD883" s="808"/>
      <c r="AE883" s="808"/>
      <c r="AF883" s="808"/>
      <c r="AG883" s="808"/>
      <c r="AH883" s="808"/>
      <c r="AI883" s="808"/>
      <c r="AJ883" s="808"/>
      <c r="AK883" s="808"/>
      <c r="AL883" s="808"/>
      <c r="AM883" s="808"/>
      <c r="AN883" s="808"/>
      <c r="AO883" s="808"/>
      <c r="AP883" s="808"/>
      <c r="AQ883" s="808"/>
      <c r="AR883" s="808"/>
      <c r="AS883" s="808"/>
      <c r="AT883" s="808"/>
      <c r="AU883" s="808"/>
      <c r="AV883" s="808"/>
      <c r="AW883" s="808"/>
      <c r="AX883" s="808"/>
      <c r="AY883" s="808"/>
      <c r="AZ883" s="808"/>
      <c r="BA883" s="808"/>
      <c r="BB883" s="808"/>
      <c r="BC883" s="808"/>
      <c r="BD883" s="808"/>
      <c r="BE883" s="808"/>
      <c r="BF883" s="808"/>
      <c r="BG883" s="808"/>
      <c r="BH883" s="808"/>
      <c r="BI883" s="808"/>
      <c r="BJ883" s="808"/>
      <c r="BK883" s="808"/>
      <c r="BL883" s="808"/>
      <c r="BM883" s="808"/>
      <c r="BN883" s="808"/>
      <c r="BO883" s="808"/>
      <c r="BP883" s="808"/>
      <c r="BQ883" s="808"/>
      <c r="BR883" s="808"/>
      <c r="BS883" s="808"/>
      <c r="BT883" s="808"/>
      <c r="BU883" s="808"/>
      <c r="BV883" s="808"/>
      <c r="BW883" s="808"/>
      <c r="BX883" s="808"/>
      <c r="BY883" s="808"/>
      <c r="BZ883" s="808"/>
      <c r="CA883" s="808"/>
      <c r="CB883" s="808"/>
      <c r="CC883" s="808"/>
      <c r="CD883" s="808"/>
      <c r="CE883" s="808"/>
      <c r="CF883" s="808"/>
      <c r="CG883" s="808"/>
      <c r="CH883" s="808"/>
      <c r="CI883" s="808"/>
      <c r="CJ883" s="808"/>
      <c r="CK883" s="808"/>
      <c r="CL883" s="808"/>
      <c r="CM883" s="808"/>
      <c r="CN883" s="808"/>
      <c r="CO883" s="808"/>
      <c r="CP883" s="808"/>
      <c r="CQ883" s="808"/>
      <c r="CR883" s="808"/>
      <c r="CS883" s="808"/>
      <c r="CT883" s="808"/>
      <c r="CU883" s="808"/>
      <c r="CV883" s="808"/>
      <c r="CW883" s="808"/>
      <c r="CX883" s="808"/>
      <c r="CY883" s="808"/>
      <c r="CZ883" s="808"/>
      <c r="DA883" s="808"/>
      <c r="DB883" s="808"/>
      <c r="DC883" s="808"/>
      <c r="DD883" s="808"/>
      <c r="DE883" s="808"/>
      <c r="DF883" s="808"/>
      <c r="DG883" s="808"/>
      <c r="DH883" s="808"/>
      <c r="DI883" s="808"/>
      <c r="DJ883" s="808"/>
      <c r="DK883" s="808"/>
      <c r="DL883" s="808"/>
      <c r="DM883" s="808"/>
      <c r="DN883" s="808"/>
      <c r="DO883" s="808"/>
      <c r="DP883" s="808"/>
      <c r="DQ883" s="808"/>
      <c r="DR883" s="808"/>
      <c r="DS883" s="808"/>
      <c r="DT883" s="808"/>
      <c r="DU883" s="808"/>
      <c r="DV883" s="808"/>
      <c r="DW883" s="808"/>
      <c r="DX883" s="808"/>
      <c r="DY883" s="808"/>
      <c r="DZ883" s="808"/>
      <c r="EA883" s="808"/>
      <c r="EB883" s="808"/>
      <c r="EC883" s="808"/>
      <c r="ED883" s="808"/>
      <c r="EE883" s="808"/>
      <c r="EF883" s="808"/>
      <c r="EG883" s="808"/>
      <c r="EH883" s="808"/>
      <c r="EI883" s="808"/>
      <c r="EJ883" s="808"/>
      <c r="EK883" s="808"/>
      <c r="EL883" s="808"/>
      <c r="EM883" s="808"/>
      <c r="EN883" s="808"/>
      <c r="EO883" s="808"/>
      <c r="EP883" s="808"/>
      <c r="EQ883" s="808"/>
      <c r="ER883" s="808"/>
      <c r="ES883" s="808"/>
      <c r="ET883" s="808"/>
      <c r="EU883" s="808"/>
      <c r="EV883" s="808"/>
      <c r="EW883" s="808"/>
      <c r="EX883" s="808"/>
      <c r="EY883" s="808"/>
      <c r="EZ883" s="808"/>
      <c r="FA883" s="808"/>
      <c r="FB883" s="808"/>
      <c r="FC883" s="808"/>
      <c r="FD883" s="808"/>
      <c r="FE883" s="808"/>
      <c r="FF883" s="808"/>
      <c r="FG883" s="808"/>
      <c r="FH883" s="808"/>
      <c r="FI883" s="808"/>
      <c r="FJ883" s="808"/>
      <c r="FK883" s="808"/>
      <c r="FL883" s="808"/>
      <c r="FM883" s="808"/>
      <c r="FN883" s="808"/>
      <c r="FO883" s="808"/>
      <c r="FP883" s="808"/>
      <c r="FQ883" s="808"/>
      <c r="FR883" s="808"/>
      <c r="FS883" s="808"/>
      <c r="FT883" s="808"/>
      <c r="FU883" s="808"/>
      <c r="FV883" s="808"/>
      <c r="FW883" s="808"/>
      <c r="FX883" s="808"/>
      <c r="FY883" s="808"/>
      <c r="FZ883" s="808"/>
      <c r="GA883" s="808"/>
      <c r="GB883" s="808"/>
      <c r="GC883" s="808"/>
      <c r="GD883" s="808"/>
      <c r="GE883" s="808"/>
      <c r="GF883" s="808"/>
      <c r="GG883" s="808"/>
      <c r="GH883" s="808"/>
      <c r="GI883" s="808"/>
      <c r="GJ883" s="808"/>
      <c r="GK883" s="808"/>
      <c r="GL883" s="808"/>
      <c r="GM883" s="808"/>
      <c r="GN883" s="808"/>
      <c r="GO883" s="808"/>
      <c r="GP883" s="808"/>
      <c r="GQ883" s="808"/>
      <c r="GR883" s="808"/>
      <c r="GS883" s="808"/>
      <c r="GT883" s="808"/>
      <c r="GU883" s="808"/>
      <c r="GV883" s="808"/>
      <c r="GW883" s="808"/>
      <c r="GX883" s="808"/>
      <c r="GY883" s="808"/>
      <c r="GZ883" s="808"/>
      <c r="HA883" s="808"/>
      <c r="HB883" s="808"/>
      <c r="HC883" s="808"/>
      <c r="HD883" s="808"/>
      <c r="HE883" s="808"/>
      <c r="HF883" s="808"/>
      <c r="HG883" s="808"/>
      <c r="HH883" s="808"/>
      <c r="HI883" s="808"/>
      <c r="HJ883" s="808"/>
      <c r="HK883" s="808"/>
      <c r="HL883" s="808"/>
      <c r="HM883" s="808"/>
      <c r="HN883" s="808"/>
      <c r="HO883" s="808"/>
      <c r="HP883" s="808"/>
      <c r="HQ883" s="808"/>
      <c r="HR883" s="808"/>
      <c r="HS883" s="808"/>
      <c r="HT883" s="808"/>
      <c r="HU883" s="808"/>
      <c r="HV883" s="808"/>
      <c r="HW883" s="808"/>
      <c r="HX883" s="808"/>
      <c r="HY883" s="808"/>
      <c r="HZ883" s="808"/>
      <c r="IA883" s="808"/>
      <c r="IB883" s="808"/>
      <c r="IC883" s="808"/>
      <c r="ID883" s="808"/>
      <c r="IE883" s="808"/>
      <c r="IF883" s="808"/>
      <c r="IG883" s="808"/>
      <c r="IH883" s="808"/>
      <c r="II883" s="808"/>
      <c r="IJ883" s="808"/>
      <c r="IK883" s="808"/>
      <c r="IL883" s="808"/>
      <c r="IM883" s="808"/>
      <c r="IN883" s="808"/>
      <c r="IO883" s="808"/>
      <c r="IP883" s="808"/>
      <c r="IQ883" s="808"/>
      <c r="IR883" s="808"/>
      <c r="IS883" s="808"/>
      <c r="IT883" s="808"/>
      <c r="IU883" s="808"/>
      <c r="IV883" s="808"/>
      <c r="IW883" s="808"/>
      <c r="IX883" s="808"/>
      <c r="IY883" s="808"/>
      <c r="IZ883" s="808"/>
      <c r="JA883" s="808"/>
      <c r="JB883" s="808"/>
      <c r="JC883" s="808"/>
      <c r="JD883" s="808"/>
      <c r="JE883" s="808"/>
      <c r="JF883" s="808"/>
      <c r="JG883" s="808"/>
      <c r="JH883" s="808"/>
      <c r="JI883" s="808"/>
      <c r="JJ883" s="808"/>
      <c r="JK883" s="808"/>
      <c r="JL883" s="808"/>
      <c r="JM883" s="808"/>
      <c r="JN883" s="808"/>
      <c r="JO883" s="808"/>
      <c r="JP883" s="808"/>
      <c r="JQ883" s="808"/>
      <c r="JR883" s="808"/>
      <c r="JS883" s="808"/>
      <c r="JT883" s="808"/>
      <c r="JU883" s="808"/>
      <c r="JV883" s="808"/>
      <c r="JW883" s="808"/>
      <c r="JX883" s="808"/>
      <c r="JY883" s="808"/>
      <c r="JZ883" s="808"/>
      <c r="KA883" s="808"/>
      <c r="KB883" s="808"/>
      <c r="KC883" s="808"/>
      <c r="KD883" s="808"/>
      <c r="KE883" s="808"/>
      <c r="KF883" s="808"/>
      <c r="KG883" s="808"/>
      <c r="KH883" s="808"/>
      <c r="KI883" s="808"/>
      <c r="KJ883" s="808"/>
      <c r="KK883" s="808"/>
      <c r="KL883" s="808"/>
      <c r="KM883" s="808"/>
      <c r="KN883" s="808"/>
      <c r="KO883" s="808"/>
      <c r="KP883" s="808"/>
      <c r="KQ883" s="808"/>
      <c r="KR883" s="808"/>
      <c r="KS883" s="808"/>
      <c r="KT883" s="808"/>
      <c r="KU883" s="808"/>
      <c r="KV883" s="808"/>
      <c r="KW883" s="808"/>
      <c r="KX883" s="808"/>
      <c r="KY883" s="808"/>
      <c r="KZ883" s="808"/>
      <c r="LA883" s="808"/>
      <c r="LB883" s="808"/>
      <c r="LC883" s="808"/>
      <c r="LD883" s="808"/>
      <c r="LE883" s="808"/>
      <c r="LF883" s="808"/>
      <c r="LG883" s="808"/>
      <c r="LH883" s="808"/>
      <c r="LI883" s="808"/>
      <c r="LJ883" s="808"/>
      <c r="LK883" s="808"/>
      <c r="LL883" s="808"/>
      <c r="LM883" s="808"/>
      <c r="LN883" s="808"/>
      <c r="LO883" s="808"/>
      <c r="LP883" s="808"/>
      <c r="LQ883" s="808"/>
      <c r="LR883" s="808"/>
      <c r="LS883" s="808"/>
      <c r="LT883" s="808"/>
      <c r="LU883" s="808"/>
      <c r="LV883" s="808"/>
      <c r="LW883" s="808"/>
      <c r="LX883" s="808"/>
      <c r="LY883" s="808"/>
      <c r="LZ883" s="808"/>
      <c r="MA883" s="808"/>
      <c r="MB883" s="808"/>
      <c r="MC883" s="808"/>
      <c r="MD883" s="808"/>
      <c r="ME883" s="808"/>
      <c r="MF883" s="808"/>
      <c r="MG883" s="808"/>
      <c r="MH883" s="808"/>
      <c r="MI883" s="808"/>
      <c r="MJ883" s="808"/>
      <c r="MK883" s="808"/>
      <c r="ML883" s="808"/>
      <c r="MM883" s="808"/>
      <c r="MN883" s="808"/>
      <c r="MO883" s="808"/>
      <c r="MP883" s="808"/>
      <c r="MQ883" s="808"/>
      <c r="MR883" s="808"/>
      <c r="MS883" s="808"/>
      <c r="MT883" s="808"/>
      <c r="MU883" s="808"/>
      <c r="MV883" s="808"/>
      <c r="MW883" s="808"/>
      <c r="MX883" s="808"/>
      <c r="MY883" s="808"/>
      <c r="MZ883" s="808"/>
      <c r="NA883" s="808"/>
      <c r="NB883" s="808"/>
      <c r="NC883" s="808"/>
      <c r="ND883" s="808"/>
      <c r="NE883" s="808"/>
      <c r="NF883" s="808"/>
      <c r="NG883" s="808"/>
      <c r="NH883" s="808"/>
      <c r="NI883" s="808"/>
      <c r="NJ883" s="808"/>
      <c r="NK883" s="808"/>
      <c r="NL883" s="808"/>
      <c r="NM883" s="808"/>
      <c r="NN883" s="808"/>
      <c r="NO883" s="808"/>
      <c r="NP883" s="808"/>
      <c r="NQ883" s="808"/>
      <c r="NR883" s="808"/>
      <c r="NS883" s="808"/>
      <c r="NT883" s="808"/>
      <c r="NU883" s="808"/>
      <c r="NV883" s="808"/>
      <c r="NW883" s="808"/>
      <c r="NX883" s="808"/>
      <c r="NY883" s="808"/>
      <c r="NZ883" s="808"/>
      <c r="OA883" s="808"/>
      <c r="OB883" s="808"/>
      <c r="OC883" s="808"/>
      <c r="OD883" s="808"/>
      <c r="OE883" s="808"/>
      <c r="OF883" s="808"/>
      <c r="OG883" s="808"/>
      <c r="OH883" s="808"/>
      <c r="OI883" s="808"/>
      <c r="OJ883" s="808"/>
      <c r="OK883" s="808"/>
      <c r="OL883" s="808"/>
      <c r="OM883" s="808"/>
      <c r="ON883" s="808"/>
      <c r="OO883" s="808"/>
      <c r="OP883" s="808"/>
      <c r="OQ883" s="808"/>
      <c r="OR883" s="808"/>
      <c r="OS883" s="808"/>
      <c r="OT883" s="808"/>
      <c r="OU883" s="808"/>
      <c r="OV883" s="808"/>
      <c r="OW883" s="808"/>
      <c r="OX883" s="808"/>
      <c r="OY883" s="808"/>
      <c r="OZ883" s="808"/>
      <c r="PA883" s="808"/>
      <c r="PB883" s="808"/>
      <c r="PC883" s="808"/>
      <c r="PD883" s="808"/>
      <c r="PE883" s="808"/>
      <c r="PF883" s="808"/>
      <c r="PG883" s="808"/>
      <c r="PH883" s="808"/>
      <c r="PI883" s="808"/>
      <c r="PJ883" s="808"/>
      <c r="PK883" s="808"/>
      <c r="PL883" s="808"/>
      <c r="PM883" s="808"/>
      <c r="PN883" s="808"/>
      <c r="PO883" s="808"/>
      <c r="PP883" s="808"/>
      <c r="PQ883" s="808"/>
      <c r="PR883" s="808"/>
      <c r="PS883" s="808"/>
      <c r="PT883" s="808"/>
      <c r="PU883" s="808"/>
      <c r="PV883" s="808"/>
      <c r="PW883" s="808"/>
      <c r="PX883" s="808"/>
      <c r="PY883" s="808"/>
      <c r="PZ883" s="808"/>
      <c r="QA883" s="808"/>
      <c r="QB883" s="808"/>
      <c r="QC883" s="808"/>
      <c r="QD883" s="808"/>
      <c r="QE883" s="808"/>
      <c r="QF883" s="808"/>
      <c r="QG883" s="808"/>
      <c r="QH883" s="808"/>
      <c r="QI883" s="808"/>
      <c r="QJ883" s="808"/>
      <c r="QK883" s="808"/>
      <c r="QL883" s="808"/>
      <c r="QM883" s="808"/>
      <c r="QN883" s="808"/>
      <c r="QO883" s="808"/>
      <c r="QP883" s="808"/>
      <c r="QQ883" s="808"/>
      <c r="QR883" s="808"/>
      <c r="QS883" s="808"/>
      <c r="QT883" s="808"/>
      <c r="QU883" s="808"/>
      <c r="QV883" s="808"/>
      <c r="QW883" s="808"/>
      <c r="QX883" s="808"/>
      <c r="QY883" s="808"/>
      <c r="QZ883" s="808"/>
      <c r="RA883" s="808"/>
      <c r="RB883" s="808"/>
      <c r="RC883" s="808"/>
      <c r="RD883" s="808"/>
      <c r="RE883" s="808"/>
      <c r="RF883" s="808"/>
      <c r="RG883" s="808"/>
      <c r="RH883" s="808"/>
      <c r="RI883" s="808"/>
      <c r="RJ883" s="808"/>
      <c r="RK883" s="808"/>
      <c r="RL883" s="808"/>
      <c r="RM883" s="808"/>
      <c r="RN883" s="808"/>
      <c r="RO883" s="808"/>
      <c r="RP883" s="808"/>
      <c r="RQ883" s="808"/>
      <c r="RR883" s="808"/>
      <c r="RS883" s="808"/>
      <c r="RT883" s="808"/>
      <c r="RU883" s="808"/>
      <c r="RV883" s="808"/>
      <c r="RW883" s="808"/>
      <c r="RX883" s="808"/>
      <c r="RY883" s="808"/>
      <c r="RZ883" s="808"/>
      <c r="SA883" s="808"/>
      <c r="SB883" s="808"/>
      <c r="SC883" s="808"/>
      <c r="SD883" s="808"/>
      <c r="SE883" s="808"/>
      <c r="SF883" s="808"/>
      <c r="SG883" s="808"/>
      <c r="SH883" s="808"/>
      <c r="SI883" s="808"/>
      <c r="SJ883" s="808"/>
      <c r="SK883" s="808"/>
      <c r="SL883" s="808"/>
      <c r="SM883" s="808"/>
      <c r="SN883" s="808"/>
      <c r="SO883" s="808"/>
      <c r="SP883" s="808"/>
      <c r="SQ883" s="808"/>
      <c r="SR883" s="808"/>
      <c r="SS883" s="808"/>
      <c r="ST883" s="808"/>
      <c r="SU883" s="808"/>
      <c r="SV883" s="808"/>
      <c r="SW883" s="808"/>
      <c r="SX883" s="808"/>
      <c r="SY883" s="808"/>
      <c r="SZ883" s="808"/>
      <c r="TA883" s="808"/>
      <c r="TB883" s="808"/>
      <c r="TC883" s="808"/>
      <c r="TD883" s="808"/>
      <c r="TE883" s="808"/>
      <c r="TF883" s="808"/>
      <c r="TG883" s="808"/>
      <c r="TH883" s="808"/>
      <c r="TI883" s="808"/>
      <c r="TJ883" s="808"/>
      <c r="TK883" s="808"/>
      <c r="TL883" s="808"/>
      <c r="TM883" s="808"/>
      <c r="TN883" s="808"/>
      <c r="TO883" s="808"/>
      <c r="TP883" s="808"/>
      <c r="TQ883" s="808"/>
      <c r="TR883" s="808"/>
      <c r="TS883" s="808"/>
      <c r="TT883" s="808"/>
      <c r="TU883" s="808"/>
      <c r="TV883" s="808"/>
      <c r="TW883" s="808"/>
      <c r="TX883" s="808"/>
      <c r="TY883" s="808"/>
      <c r="TZ883" s="808"/>
      <c r="UA883" s="808"/>
      <c r="UB883" s="808"/>
      <c r="UC883" s="808"/>
      <c r="UD883" s="808"/>
      <c r="UE883" s="808"/>
      <c r="UF883" s="808"/>
      <c r="UG883" s="808"/>
      <c r="UH883" s="808"/>
      <c r="UI883" s="808"/>
      <c r="UJ883" s="808"/>
      <c r="UK883" s="808"/>
      <c r="UL883" s="808"/>
      <c r="UM883" s="808"/>
      <c r="UN883" s="808"/>
      <c r="UO883" s="808"/>
      <c r="UP883" s="808"/>
      <c r="UQ883" s="808"/>
      <c r="UR883" s="808"/>
      <c r="US883" s="808"/>
      <c r="UT883" s="808"/>
      <c r="UU883" s="808"/>
      <c r="UV883" s="808"/>
      <c r="UW883" s="808"/>
      <c r="UX883" s="808"/>
      <c r="UY883" s="808"/>
      <c r="UZ883" s="808"/>
      <c r="VA883" s="808"/>
      <c r="VB883" s="808"/>
      <c r="VC883" s="808"/>
      <c r="VD883" s="808"/>
      <c r="VE883" s="808"/>
      <c r="VF883" s="808"/>
      <c r="VG883" s="808"/>
      <c r="VH883" s="808"/>
      <c r="VI883" s="808"/>
      <c r="VJ883" s="808"/>
      <c r="VK883" s="808"/>
      <c r="VL883" s="808"/>
      <c r="VM883" s="808"/>
      <c r="VN883" s="808"/>
      <c r="VO883" s="808"/>
      <c r="VP883" s="808"/>
      <c r="VQ883" s="808"/>
      <c r="VR883" s="808"/>
      <c r="VS883" s="808"/>
      <c r="VT883" s="808"/>
      <c r="VU883" s="808"/>
      <c r="VV883" s="808"/>
      <c r="VW883" s="808"/>
      <c r="VX883" s="808"/>
      <c r="VY883" s="808"/>
      <c r="VZ883" s="808"/>
      <c r="WA883" s="808"/>
      <c r="WB883" s="808"/>
      <c r="WC883" s="808"/>
      <c r="WD883" s="808"/>
      <c r="WE883" s="808"/>
      <c r="WF883" s="808"/>
      <c r="WG883" s="808"/>
      <c r="WH883" s="808"/>
      <c r="WI883" s="808"/>
      <c r="WJ883" s="808"/>
      <c r="WK883" s="808"/>
      <c r="WL883" s="808"/>
      <c r="WM883" s="808"/>
      <c r="WN883" s="808"/>
      <c r="WO883" s="808"/>
      <c r="WP883" s="808"/>
      <c r="WQ883" s="808"/>
      <c r="WR883" s="808"/>
      <c r="WS883" s="808"/>
      <c r="WT883" s="808"/>
      <c r="WU883" s="808"/>
      <c r="WV883" s="808"/>
      <c r="WW883" s="808"/>
      <c r="WX883" s="808"/>
      <c r="WY883" s="808"/>
      <c r="WZ883" s="808"/>
      <c r="XA883" s="808"/>
      <c r="XB883" s="808"/>
      <c r="XC883" s="808"/>
      <c r="XD883" s="808"/>
      <c r="XE883" s="808"/>
      <c r="XF883" s="808"/>
      <c r="XG883" s="808"/>
      <c r="XH883" s="808"/>
      <c r="XI883" s="808"/>
      <c r="XJ883" s="808"/>
      <c r="XK883" s="808"/>
      <c r="XL883" s="808"/>
      <c r="XM883" s="808"/>
      <c r="XN883" s="808"/>
      <c r="XO883" s="808"/>
      <c r="XP883" s="808"/>
      <c r="XQ883" s="808"/>
      <c r="XR883" s="808"/>
      <c r="XS883" s="808"/>
      <c r="XT883" s="808"/>
      <c r="XU883" s="808"/>
      <c r="XV883" s="808"/>
      <c r="XW883" s="808"/>
      <c r="XX883" s="808"/>
      <c r="XY883" s="808"/>
      <c r="XZ883" s="808"/>
      <c r="YA883" s="808"/>
      <c r="YB883" s="808"/>
      <c r="YC883" s="808"/>
      <c r="YD883" s="808"/>
      <c r="YE883" s="808"/>
      <c r="YF883" s="808"/>
      <c r="YG883" s="808"/>
      <c r="YH883" s="808"/>
      <c r="YI883" s="808"/>
      <c r="YJ883" s="808"/>
      <c r="YK883" s="808"/>
      <c r="YL883" s="808"/>
      <c r="YM883" s="808"/>
      <c r="YN883" s="808"/>
      <c r="YO883" s="808"/>
      <c r="YP883" s="808"/>
      <c r="YQ883" s="808"/>
      <c r="YR883" s="808"/>
      <c r="YS883" s="808"/>
      <c r="YT883" s="808"/>
      <c r="YU883" s="808"/>
      <c r="YV883" s="808"/>
      <c r="YW883" s="808"/>
      <c r="YX883" s="808"/>
      <c r="YY883" s="808"/>
      <c r="YZ883" s="808"/>
      <c r="ZA883" s="808"/>
      <c r="ZB883" s="808"/>
      <c r="ZC883" s="808"/>
      <c r="ZD883" s="808"/>
      <c r="ZE883" s="808"/>
      <c r="ZF883" s="808"/>
      <c r="ZG883" s="808"/>
      <c r="ZH883" s="808"/>
      <c r="ZI883" s="808"/>
      <c r="ZJ883" s="808"/>
      <c r="ZK883" s="808"/>
      <c r="ZL883" s="808"/>
      <c r="ZM883" s="808"/>
      <c r="ZN883" s="808"/>
      <c r="ZO883" s="808"/>
      <c r="ZP883" s="808"/>
      <c r="ZQ883" s="808"/>
      <c r="ZR883" s="808"/>
      <c r="ZS883" s="808"/>
      <c r="ZT883" s="808"/>
      <c r="ZU883" s="808"/>
      <c r="ZV883" s="808"/>
      <c r="ZW883" s="808"/>
      <c r="ZX883" s="808"/>
      <c r="ZY883" s="808"/>
      <c r="ZZ883" s="808"/>
      <c r="AAA883" s="808"/>
      <c r="AAB883" s="808"/>
      <c r="AAC883" s="808"/>
      <c r="AAD883" s="808"/>
      <c r="AAE883" s="808"/>
      <c r="AAF883" s="808"/>
      <c r="AAG883" s="808"/>
      <c r="AAH883" s="808"/>
      <c r="AAI883" s="808"/>
      <c r="AAJ883" s="808"/>
      <c r="AAK883" s="808"/>
      <c r="AAL883" s="808"/>
      <c r="AAM883" s="808"/>
      <c r="AAN883" s="808"/>
      <c r="AAO883" s="808"/>
      <c r="AAP883" s="808"/>
      <c r="AAQ883" s="808"/>
      <c r="AAR883" s="808"/>
      <c r="AAS883" s="808"/>
      <c r="AAT883" s="808"/>
      <c r="AAU883" s="808"/>
      <c r="AAV883" s="808"/>
      <c r="AAW883" s="808"/>
      <c r="AAX883" s="808"/>
      <c r="AAY883" s="808"/>
      <c r="AAZ883" s="808"/>
      <c r="ABA883" s="808"/>
      <c r="ABB883" s="808"/>
      <c r="ABC883" s="808"/>
      <c r="ABD883" s="808"/>
      <c r="ABE883" s="808"/>
      <c r="ABF883" s="808"/>
      <c r="ABG883" s="808"/>
      <c r="ABH883" s="808"/>
      <c r="ABI883" s="808"/>
      <c r="ABJ883" s="808"/>
      <c r="ABK883" s="808"/>
      <c r="ABL883" s="808"/>
      <c r="ABM883" s="808"/>
      <c r="ABN883" s="808"/>
      <c r="ABO883" s="808"/>
      <c r="ABP883" s="808"/>
      <c r="ABQ883" s="808"/>
      <c r="ABR883" s="808"/>
      <c r="ABS883" s="808"/>
      <c r="ABT883" s="808"/>
      <c r="ABU883" s="808"/>
      <c r="ABV883" s="808"/>
      <c r="ABW883" s="808"/>
      <c r="ABX883" s="808"/>
      <c r="ABY883" s="808"/>
      <c r="ABZ883" s="808"/>
      <c r="ACA883" s="808"/>
      <c r="ACB883" s="808"/>
      <c r="ACC883" s="808"/>
      <c r="ACD883" s="808"/>
      <c r="ACE883" s="808"/>
      <c r="ACF883" s="808"/>
      <c r="ACG883" s="808"/>
      <c r="ACH883" s="808"/>
      <c r="ACI883" s="808"/>
      <c r="ACJ883" s="808"/>
      <c r="ACK883" s="808"/>
      <c r="ACL883" s="808"/>
      <c r="ACM883" s="808"/>
      <c r="ACN883" s="808"/>
      <c r="ACO883" s="808"/>
      <c r="ACP883" s="808"/>
      <c r="ACQ883" s="808"/>
      <c r="ACR883" s="808"/>
      <c r="ACS883" s="808"/>
      <c r="ACT883" s="808"/>
      <c r="ACU883" s="808"/>
      <c r="ACV883" s="808"/>
      <c r="ACW883" s="808"/>
      <c r="ACX883" s="808"/>
      <c r="ACY883" s="808"/>
      <c r="ACZ883" s="808"/>
      <c r="ADA883" s="808"/>
      <c r="ADB883" s="808"/>
      <c r="ADC883" s="808"/>
      <c r="ADD883" s="808"/>
      <c r="ADE883" s="808"/>
      <c r="ADF883" s="808"/>
      <c r="ADG883" s="808"/>
      <c r="ADH883" s="808"/>
      <c r="ADI883" s="808"/>
      <c r="ADJ883" s="808"/>
      <c r="ADK883" s="808"/>
      <c r="ADL883" s="808"/>
      <c r="ADM883" s="808"/>
      <c r="ADN883" s="808"/>
      <c r="ADO883" s="808"/>
      <c r="ADP883" s="808"/>
      <c r="ADQ883" s="808"/>
      <c r="ADR883" s="808"/>
      <c r="ADS883" s="808"/>
      <c r="ADT883" s="808"/>
      <c r="ADU883" s="808"/>
      <c r="ADV883" s="808"/>
      <c r="ADW883" s="808"/>
      <c r="ADX883" s="808"/>
      <c r="ADY883" s="808"/>
      <c r="ADZ883" s="808"/>
      <c r="AEA883" s="808"/>
      <c r="AEB883" s="808"/>
      <c r="AEC883" s="808"/>
      <c r="AED883" s="808"/>
      <c r="AEE883" s="808"/>
      <c r="AEF883" s="808"/>
      <c r="AEG883" s="808"/>
      <c r="AEH883" s="808"/>
      <c r="AEI883" s="808"/>
      <c r="AEJ883" s="808"/>
      <c r="AEK883" s="808"/>
      <c r="AEL883" s="808"/>
      <c r="AEM883" s="808"/>
      <c r="AEN883" s="808"/>
      <c r="AEO883" s="808"/>
      <c r="AEP883" s="808"/>
      <c r="AEQ883" s="808"/>
      <c r="AER883" s="808"/>
      <c r="AES883" s="808"/>
      <c r="AET883" s="808"/>
      <c r="AEU883" s="808"/>
      <c r="AEV883" s="808"/>
      <c r="AEW883" s="808"/>
      <c r="AEX883" s="808"/>
      <c r="AEY883" s="808"/>
      <c r="AEZ883" s="808"/>
      <c r="AFA883" s="808"/>
      <c r="AFB883" s="808"/>
      <c r="AFC883" s="808"/>
      <c r="AFD883" s="808"/>
      <c r="AFE883" s="808"/>
      <c r="AFF883" s="808"/>
      <c r="AFG883" s="808"/>
      <c r="AFH883" s="808"/>
      <c r="AFI883" s="808"/>
      <c r="AFJ883" s="808"/>
      <c r="AFK883" s="808"/>
      <c r="AFL883" s="808"/>
      <c r="AFM883" s="808"/>
      <c r="AFN883" s="808"/>
      <c r="AFO883" s="808"/>
      <c r="AFP883" s="808"/>
      <c r="AFQ883" s="808"/>
      <c r="AFR883" s="808"/>
      <c r="AFS883" s="808"/>
      <c r="AFT883" s="808"/>
      <c r="AFU883" s="808"/>
      <c r="AFV883" s="808"/>
      <c r="AFW883" s="808"/>
      <c r="AFX883" s="808"/>
      <c r="AFY883" s="808"/>
      <c r="AFZ883" s="808"/>
      <c r="AGA883" s="808"/>
      <c r="AGB883" s="808"/>
      <c r="AGC883" s="808"/>
      <c r="AGD883" s="808"/>
      <c r="AGE883" s="808"/>
      <c r="AGF883" s="808"/>
      <c r="AGG883" s="808"/>
      <c r="AGH883" s="808"/>
      <c r="AGI883" s="808"/>
      <c r="AGJ883" s="808"/>
    </row>
    <row r="884" spans="1:868" s="7" customFormat="1" hidden="1">
      <c r="A884" s="609" t="s">
        <v>118</v>
      </c>
      <c r="B884" s="59" t="s">
        <v>436</v>
      </c>
      <c r="C884" s="40" t="s">
        <v>139</v>
      </c>
      <c r="D884" s="34" t="s">
        <v>99</v>
      </c>
      <c r="E884" s="859">
        <v>6.4613472974172373E-2</v>
      </c>
      <c r="F884" s="34">
        <v>2</v>
      </c>
      <c r="G884" s="40" t="s">
        <v>429</v>
      </c>
      <c r="H884" s="29">
        <v>1</v>
      </c>
      <c r="I884" s="9">
        <v>2</v>
      </c>
      <c r="J884" s="9">
        <v>2</v>
      </c>
      <c r="K884" s="9">
        <v>1</v>
      </c>
      <c r="L884" s="9">
        <v>1</v>
      </c>
      <c r="M884" s="9">
        <v>2</v>
      </c>
      <c r="N884" s="185">
        <f t="shared" si="66"/>
        <v>0.35859414261160716</v>
      </c>
      <c r="O884" s="159">
        <f t="shared" si="65"/>
        <v>0.37356464144298934</v>
      </c>
      <c r="P884" s="63"/>
      <c r="Q884" s="808"/>
      <c r="R884" s="808"/>
      <c r="S884" s="808"/>
      <c r="T884" s="808"/>
      <c r="U884" s="808"/>
      <c r="V884" s="808"/>
      <c r="W884" s="808"/>
      <c r="X884" s="808"/>
      <c r="Y884" s="808"/>
      <c r="Z884" s="808"/>
      <c r="AA884" s="808"/>
      <c r="AB884" s="808"/>
      <c r="AC884" s="808"/>
      <c r="AD884" s="808"/>
      <c r="AE884" s="808"/>
      <c r="AF884" s="808"/>
      <c r="AG884" s="808"/>
      <c r="AH884" s="808"/>
      <c r="AI884" s="808"/>
      <c r="AJ884" s="808"/>
      <c r="AK884" s="808"/>
      <c r="AL884" s="808"/>
      <c r="AM884" s="808"/>
      <c r="AN884" s="808"/>
      <c r="AO884" s="808"/>
      <c r="AP884" s="808"/>
      <c r="AQ884" s="808"/>
      <c r="AR884" s="808"/>
      <c r="AS884" s="808"/>
      <c r="AT884" s="808"/>
      <c r="AU884" s="808"/>
      <c r="AV884" s="808"/>
      <c r="AW884" s="808"/>
      <c r="AX884" s="808"/>
      <c r="AY884" s="808"/>
      <c r="AZ884" s="808"/>
      <c r="BA884" s="808"/>
      <c r="BB884" s="808"/>
      <c r="BC884" s="808"/>
      <c r="BD884" s="808"/>
      <c r="BE884" s="808"/>
      <c r="BF884" s="808"/>
      <c r="BG884" s="808"/>
      <c r="BH884" s="808"/>
      <c r="BI884" s="808"/>
      <c r="BJ884" s="808"/>
      <c r="BK884" s="808"/>
      <c r="BL884" s="808"/>
      <c r="BM884" s="808"/>
      <c r="BN884" s="808"/>
      <c r="BO884" s="808"/>
      <c r="BP884" s="808"/>
      <c r="BQ884" s="808"/>
      <c r="BR884" s="808"/>
      <c r="BS884" s="808"/>
      <c r="BT884" s="808"/>
      <c r="BU884" s="808"/>
      <c r="BV884" s="808"/>
      <c r="BW884" s="808"/>
      <c r="BX884" s="808"/>
      <c r="BY884" s="808"/>
      <c r="BZ884" s="808"/>
      <c r="CA884" s="808"/>
      <c r="CB884" s="808"/>
      <c r="CC884" s="808"/>
      <c r="CD884" s="808"/>
      <c r="CE884" s="808"/>
      <c r="CF884" s="808"/>
      <c r="CG884" s="808"/>
      <c r="CH884" s="808"/>
      <c r="CI884" s="808"/>
      <c r="CJ884" s="808"/>
      <c r="CK884" s="808"/>
      <c r="CL884" s="808"/>
      <c r="CM884" s="808"/>
      <c r="CN884" s="808"/>
      <c r="CO884" s="808"/>
      <c r="CP884" s="808"/>
      <c r="CQ884" s="808"/>
      <c r="CR884" s="808"/>
      <c r="CS884" s="808"/>
      <c r="CT884" s="808"/>
      <c r="CU884" s="808"/>
      <c r="CV884" s="808"/>
      <c r="CW884" s="808"/>
      <c r="CX884" s="808"/>
      <c r="CY884" s="808"/>
      <c r="CZ884" s="808"/>
      <c r="DA884" s="808"/>
      <c r="DB884" s="808"/>
      <c r="DC884" s="808"/>
      <c r="DD884" s="808"/>
      <c r="DE884" s="808"/>
      <c r="DF884" s="808"/>
      <c r="DG884" s="808"/>
      <c r="DH884" s="808"/>
      <c r="DI884" s="808"/>
      <c r="DJ884" s="808"/>
      <c r="DK884" s="808"/>
      <c r="DL884" s="808"/>
      <c r="DM884" s="808"/>
      <c r="DN884" s="808"/>
      <c r="DO884" s="808"/>
      <c r="DP884" s="808"/>
      <c r="DQ884" s="808"/>
      <c r="DR884" s="808"/>
      <c r="DS884" s="808"/>
      <c r="DT884" s="808"/>
      <c r="DU884" s="808"/>
      <c r="DV884" s="808"/>
      <c r="DW884" s="808"/>
      <c r="DX884" s="808"/>
      <c r="DY884" s="808"/>
      <c r="DZ884" s="808"/>
      <c r="EA884" s="808"/>
      <c r="EB884" s="808"/>
      <c r="EC884" s="808"/>
      <c r="ED884" s="808"/>
      <c r="EE884" s="808"/>
      <c r="EF884" s="808"/>
      <c r="EG884" s="808"/>
      <c r="EH884" s="808"/>
      <c r="EI884" s="808"/>
      <c r="EJ884" s="808"/>
      <c r="EK884" s="808"/>
      <c r="EL884" s="808"/>
      <c r="EM884" s="808"/>
      <c r="EN884" s="808"/>
      <c r="EO884" s="808"/>
      <c r="EP884" s="808"/>
      <c r="EQ884" s="808"/>
      <c r="ER884" s="808"/>
      <c r="ES884" s="808"/>
      <c r="ET884" s="808"/>
      <c r="EU884" s="808"/>
      <c r="EV884" s="808"/>
      <c r="EW884" s="808"/>
      <c r="EX884" s="808"/>
      <c r="EY884" s="808"/>
      <c r="EZ884" s="808"/>
      <c r="FA884" s="808"/>
      <c r="FB884" s="808"/>
      <c r="FC884" s="808"/>
      <c r="FD884" s="808"/>
      <c r="FE884" s="808"/>
      <c r="FF884" s="808"/>
      <c r="FG884" s="808"/>
      <c r="FH884" s="808"/>
      <c r="FI884" s="808"/>
      <c r="FJ884" s="808"/>
      <c r="FK884" s="808"/>
      <c r="FL884" s="808"/>
      <c r="FM884" s="808"/>
      <c r="FN884" s="808"/>
      <c r="FO884" s="808"/>
      <c r="FP884" s="808"/>
      <c r="FQ884" s="808"/>
      <c r="FR884" s="808"/>
      <c r="FS884" s="808"/>
      <c r="FT884" s="808"/>
      <c r="FU884" s="808"/>
      <c r="FV884" s="808"/>
      <c r="FW884" s="808"/>
      <c r="FX884" s="808"/>
      <c r="FY884" s="808"/>
      <c r="FZ884" s="808"/>
      <c r="GA884" s="808"/>
      <c r="GB884" s="808"/>
      <c r="GC884" s="808"/>
      <c r="GD884" s="808"/>
      <c r="GE884" s="808"/>
      <c r="GF884" s="808"/>
      <c r="GG884" s="808"/>
      <c r="GH884" s="808"/>
      <c r="GI884" s="808"/>
      <c r="GJ884" s="808"/>
      <c r="GK884" s="808"/>
      <c r="GL884" s="808"/>
      <c r="GM884" s="808"/>
      <c r="GN884" s="808"/>
      <c r="GO884" s="808"/>
      <c r="GP884" s="808"/>
      <c r="GQ884" s="808"/>
      <c r="GR884" s="808"/>
      <c r="GS884" s="808"/>
      <c r="GT884" s="808"/>
      <c r="GU884" s="808"/>
      <c r="GV884" s="808"/>
      <c r="GW884" s="808"/>
      <c r="GX884" s="808"/>
      <c r="GY884" s="808"/>
      <c r="GZ884" s="808"/>
      <c r="HA884" s="808"/>
      <c r="HB884" s="808"/>
      <c r="HC884" s="808"/>
      <c r="HD884" s="808"/>
      <c r="HE884" s="808"/>
      <c r="HF884" s="808"/>
      <c r="HG884" s="808"/>
      <c r="HH884" s="808"/>
      <c r="HI884" s="808"/>
      <c r="HJ884" s="808"/>
      <c r="HK884" s="808"/>
      <c r="HL884" s="808"/>
      <c r="HM884" s="808"/>
      <c r="HN884" s="808"/>
      <c r="HO884" s="808"/>
      <c r="HP884" s="808"/>
      <c r="HQ884" s="808"/>
      <c r="HR884" s="808"/>
      <c r="HS884" s="808"/>
      <c r="HT884" s="808"/>
      <c r="HU884" s="808"/>
      <c r="HV884" s="808"/>
      <c r="HW884" s="808"/>
      <c r="HX884" s="808"/>
      <c r="HY884" s="808"/>
      <c r="HZ884" s="808"/>
      <c r="IA884" s="808"/>
      <c r="IB884" s="808"/>
      <c r="IC884" s="808"/>
      <c r="ID884" s="808"/>
      <c r="IE884" s="808"/>
      <c r="IF884" s="808"/>
      <c r="IG884" s="808"/>
      <c r="IH884" s="808"/>
      <c r="II884" s="808"/>
      <c r="IJ884" s="808"/>
      <c r="IK884" s="808"/>
      <c r="IL884" s="808"/>
      <c r="IM884" s="808"/>
      <c r="IN884" s="808"/>
      <c r="IO884" s="808"/>
      <c r="IP884" s="808"/>
      <c r="IQ884" s="808"/>
      <c r="IR884" s="808"/>
      <c r="IS884" s="808"/>
      <c r="IT884" s="808"/>
      <c r="IU884" s="808"/>
      <c r="IV884" s="808"/>
      <c r="IW884" s="808"/>
      <c r="IX884" s="808"/>
      <c r="IY884" s="808"/>
      <c r="IZ884" s="808"/>
      <c r="JA884" s="808"/>
      <c r="JB884" s="808"/>
      <c r="JC884" s="808"/>
      <c r="JD884" s="808"/>
      <c r="JE884" s="808"/>
      <c r="JF884" s="808"/>
      <c r="JG884" s="808"/>
      <c r="JH884" s="808"/>
      <c r="JI884" s="808"/>
      <c r="JJ884" s="808"/>
      <c r="JK884" s="808"/>
      <c r="JL884" s="808"/>
      <c r="JM884" s="808"/>
      <c r="JN884" s="808"/>
      <c r="JO884" s="808"/>
      <c r="JP884" s="808"/>
      <c r="JQ884" s="808"/>
      <c r="JR884" s="808"/>
      <c r="JS884" s="808"/>
      <c r="JT884" s="808"/>
      <c r="JU884" s="808"/>
      <c r="JV884" s="808"/>
      <c r="JW884" s="808"/>
      <c r="JX884" s="808"/>
      <c r="JY884" s="808"/>
      <c r="JZ884" s="808"/>
      <c r="KA884" s="808"/>
      <c r="KB884" s="808"/>
      <c r="KC884" s="808"/>
      <c r="KD884" s="808"/>
      <c r="KE884" s="808"/>
      <c r="KF884" s="808"/>
      <c r="KG884" s="808"/>
      <c r="KH884" s="808"/>
      <c r="KI884" s="808"/>
      <c r="KJ884" s="808"/>
      <c r="KK884" s="808"/>
      <c r="KL884" s="808"/>
      <c r="KM884" s="808"/>
      <c r="KN884" s="808"/>
      <c r="KO884" s="808"/>
      <c r="KP884" s="808"/>
      <c r="KQ884" s="808"/>
      <c r="KR884" s="808"/>
      <c r="KS884" s="808"/>
      <c r="KT884" s="808"/>
      <c r="KU884" s="808"/>
      <c r="KV884" s="808"/>
      <c r="KW884" s="808"/>
      <c r="KX884" s="808"/>
      <c r="KY884" s="808"/>
      <c r="KZ884" s="808"/>
      <c r="LA884" s="808"/>
      <c r="LB884" s="808"/>
      <c r="LC884" s="808"/>
      <c r="LD884" s="808"/>
      <c r="LE884" s="808"/>
      <c r="LF884" s="808"/>
      <c r="LG884" s="808"/>
      <c r="LH884" s="808"/>
      <c r="LI884" s="808"/>
      <c r="LJ884" s="808"/>
      <c r="LK884" s="808"/>
      <c r="LL884" s="808"/>
      <c r="LM884" s="808"/>
      <c r="LN884" s="808"/>
      <c r="LO884" s="808"/>
      <c r="LP884" s="808"/>
      <c r="LQ884" s="808"/>
      <c r="LR884" s="808"/>
      <c r="LS884" s="808"/>
      <c r="LT884" s="808"/>
      <c r="LU884" s="808"/>
      <c r="LV884" s="808"/>
      <c r="LW884" s="808"/>
      <c r="LX884" s="808"/>
      <c r="LY884" s="808"/>
      <c r="LZ884" s="808"/>
      <c r="MA884" s="808"/>
      <c r="MB884" s="808"/>
      <c r="MC884" s="808"/>
      <c r="MD884" s="808"/>
      <c r="ME884" s="808"/>
      <c r="MF884" s="808"/>
      <c r="MG884" s="808"/>
      <c r="MH884" s="808"/>
      <c r="MI884" s="808"/>
      <c r="MJ884" s="808"/>
      <c r="MK884" s="808"/>
      <c r="ML884" s="808"/>
      <c r="MM884" s="808"/>
      <c r="MN884" s="808"/>
      <c r="MO884" s="808"/>
      <c r="MP884" s="808"/>
      <c r="MQ884" s="808"/>
      <c r="MR884" s="808"/>
      <c r="MS884" s="808"/>
      <c r="MT884" s="808"/>
      <c r="MU884" s="808"/>
      <c r="MV884" s="808"/>
      <c r="MW884" s="808"/>
      <c r="MX884" s="808"/>
      <c r="MY884" s="808"/>
      <c r="MZ884" s="808"/>
      <c r="NA884" s="808"/>
      <c r="NB884" s="808"/>
      <c r="NC884" s="808"/>
      <c r="ND884" s="808"/>
      <c r="NE884" s="808"/>
      <c r="NF884" s="808"/>
      <c r="NG884" s="808"/>
      <c r="NH884" s="808"/>
      <c r="NI884" s="808"/>
      <c r="NJ884" s="808"/>
      <c r="NK884" s="808"/>
      <c r="NL884" s="808"/>
      <c r="NM884" s="808"/>
      <c r="NN884" s="808"/>
      <c r="NO884" s="808"/>
      <c r="NP884" s="808"/>
      <c r="NQ884" s="808"/>
      <c r="NR884" s="808"/>
      <c r="NS884" s="808"/>
      <c r="NT884" s="808"/>
      <c r="NU884" s="808"/>
      <c r="NV884" s="808"/>
      <c r="NW884" s="808"/>
      <c r="NX884" s="808"/>
      <c r="NY884" s="808"/>
      <c r="NZ884" s="808"/>
      <c r="OA884" s="808"/>
      <c r="OB884" s="808"/>
      <c r="OC884" s="808"/>
      <c r="OD884" s="808"/>
      <c r="OE884" s="808"/>
      <c r="OF884" s="808"/>
      <c r="OG884" s="808"/>
      <c r="OH884" s="808"/>
      <c r="OI884" s="808"/>
      <c r="OJ884" s="808"/>
      <c r="OK884" s="808"/>
      <c r="OL884" s="808"/>
      <c r="OM884" s="808"/>
      <c r="ON884" s="808"/>
      <c r="OO884" s="808"/>
      <c r="OP884" s="808"/>
      <c r="OQ884" s="808"/>
      <c r="OR884" s="808"/>
      <c r="OS884" s="808"/>
      <c r="OT884" s="808"/>
      <c r="OU884" s="808"/>
      <c r="OV884" s="808"/>
      <c r="OW884" s="808"/>
      <c r="OX884" s="808"/>
      <c r="OY884" s="808"/>
      <c r="OZ884" s="808"/>
      <c r="PA884" s="808"/>
      <c r="PB884" s="808"/>
      <c r="PC884" s="808"/>
      <c r="PD884" s="808"/>
      <c r="PE884" s="808"/>
      <c r="PF884" s="808"/>
      <c r="PG884" s="808"/>
      <c r="PH884" s="808"/>
      <c r="PI884" s="808"/>
      <c r="PJ884" s="808"/>
      <c r="PK884" s="808"/>
      <c r="PL884" s="808"/>
      <c r="PM884" s="808"/>
      <c r="PN884" s="808"/>
      <c r="PO884" s="808"/>
      <c r="PP884" s="808"/>
      <c r="PQ884" s="808"/>
      <c r="PR884" s="808"/>
      <c r="PS884" s="808"/>
      <c r="PT884" s="808"/>
      <c r="PU884" s="808"/>
      <c r="PV884" s="808"/>
      <c r="PW884" s="808"/>
      <c r="PX884" s="808"/>
      <c r="PY884" s="808"/>
      <c r="PZ884" s="808"/>
      <c r="QA884" s="808"/>
      <c r="QB884" s="808"/>
      <c r="QC884" s="808"/>
      <c r="QD884" s="808"/>
      <c r="QE884" s="808"/>
      <c r="QF884" s="808"/>
      <c r="QG884" s="808"/>
      <c r="QH884" s="808"/>
      <c r="QI884" s="808"/>
      <c r="QJ884" s="808"/>
      <c r="QK884" s="808"/>
      <c r="QL884" s="808"/>
      <c r="QM884" s="808"/>
      <c r="QN884" s="808"/>
      <c r="QO884" s="808"/>
      <c r="QP884" s="808"/>
      <c r="QQ884" s="808"/>
      <c r="QR884" s="808"/>
      <c r="QS884" s="808"/>
      <c r="QT884" s="808"/>
      <c r="QU884" s="808"/>
      <c r="QV884" s="808"/>
      <c r="QW884" s="808"/>
      <c r="QX884" s="808"/>
      <c r="QY884" s="808"/>
      <c r="QZ884" s="808"/>
      <c r="RA884" s="808"/>
      <c r="RB884" s="808"/>
      <c r="RC884" s="808"/>
      <c r="RD884" s="808"/>
      <c r="RE884" s="808"/>
      <c r="RF884" s="808"/>
      <c r="RG884" s="808"/>
      <c r="RH884" s="808"/>
      <c r="RI884" s="808"/>
      <c r="RJ884" s="808"/>
      <c r="RK884" s="808"/>
      <c r="RL884" s="808"/>
      <c r="RM884" s="808"/>
      <c r="RN884" s="808"/>
      <c r="RO884" s="808"/>
      <c r="RP884" s="808"/>
      <c r="RQ884" s="808"/>
      <c r="RR884" s="808"/>
      <c r="RS884" s="808"/>
      <c r="RT884" s="808"/>
      <c r="RU884" s="808"/>
      <c r="RV884" s="808"/>
      <c r="RW884" s="808"/>
      <c r="RX884" s="808"/>
      <c r="RY884" s="808"/>
      <c r="RZ884" s="808"/>
      <c r="SA884" s="808"/>
      <c r="SB884" s="808"/>
      <c r="SC884" s="808"/>
      <c r="SD884" s="808"/>
      <c r="SE884" s="808"/>
      <c r="SF884" s="808"/>
      <c r="SG884" s="808"/>
      <c r="SH884" s="808"/>
      <c r="SI884" s="808"/>
      <c r="SJ884" s="808"/>
      <c r="SK884" s="808"/>
      <c r="SL884" s="808"/>
      <c r="SM884" s="808"/>
      <c r="SN884" s="808"/>
      <c r="SO884" s="808"/>
      <c r="SP884" s="808"/>
      <c r="SQ884" s="808"/>
      <c r="SR884" s="808"/>
      <c r="SS884" s="808"/>
      <c r="ST884" s="808"/>
      <c r="SU884" s="808"/>
      <c r="SV884" s="808"/>
      <c r="SW884" s="808"/>
      <c r="SX884" s="808"/>
      <c r="SY884" s="808"/>
      <c r="SZ884" s="808"/>
      <c r="TA884" s="808"/>
      <c r="TB884" s="808"/>
      <c r="TC884" s="808"/>
      <c r="TD884" s="808"/>
      <c r="TE884" s="808"/>
      <c r="TF884" s="808"/>
      <c r="TG884" s="808"/>
      <c r="TH884" s="808"/>
      <c r="TI884" s="808"/>
      <c r="TJ884" s="808"/>
      <c r="TK884" s="808"/>
      <c r="TL884" s="808"/>
      <c r="TM884" s="808"/>
      <c r="TN884" s="808"/>
      <c r="TO884" s="808"/>
      <c r="TP884" s="808"/>
      <c r="TQ884" s="808"/>
      <c r="TR884" s="808"/>
      <c r="TS884" s="808"/>
      <c r="TT884" s="808"/>
      <c r="TU884" s="808"/>
      <c r="TV884" s="808"/>
      <c r="TW884" s="808"/>
      <c r="TX884" s="808"/>
      <c r="TY884" s="808"/>
      <c r="TZ884" s="808"/>
      <c r="UA884" s="808"/>
      <c r="UB884" s="808"/>
      <c r="UC884" s="808"/>
      <c r="UD884" s="808"/>
      <c r="UE884" s="808"/>
      <c r="UF884" s="808"/>
      <c r="UG884" s="808"/>
      <c r="UH884" s="808"/>
      <c r="UI884" s="808"/>
      <c r="UJ884" s="808"/>
      <c r="UK884" s="808"/>
      <c r="UL884" s="808"/>
      <c r="UM884" s="808"/>
      <c r="UN884" s="808"/>
      <c r="UO884" s="808"/>
      <c r="UP884" s="808"/>
      <c r="UQ884" s="808"/>
      <c r="UR884" s="808"/>
      <c r="US884" s="808"/>
      <c r="UT884" s="808"/>
      <c r="UU884" s="808"/>
      <c r="UV884" s="808"/>
      <c r="UW884" s="808"/>
      <c r="UX884" s="808"/>
      <c r="UY884" s="808"/>
      <c r="UZ884" s="808"/>
      <c r="VA884" s="808"/>
      <c r="VB884" s="808"/>
      <c r="VC884" s="808"/>
      <c r="VD884" s="808"/>
      <c r="VE884" s="808"/>
      <c r="VF884" s="808"/>
      <c r="VG884" s="808"/>
      <c r="VH884" s="808"/>
      <c r="VI884" s="808"/>
      <c r="VJ884" s="808"/>
      <c r="VK884" s="808"/>
      <c r="VL884" s="808"/>
      <c r="VM884" s="808"/>
      <c r="VN884" s="808"/>
      <c r="VO884" s="808"/>
      <c r="VP884" s="808"/>
      <c r="VQ884" s="808"/>
      <c r="VR884" s="808"/>
      <c r="VS884" s="808"/>
      <c r="VT884" s="808"/>
      <c r="VU884" s="808"/>
      <c r="VV884" s="808"/>
      <c r="VW884" s="808"/>
      <c r="VX884" s="808"/>
      <c r="VY884" s="808"/>
      <c r="VZ884" s="808"/>
      <c r="WA884" s="808"/>
      <c r="WB884" s="808"/>
      <c r="WC884" s="808"/>
      <c r="WD884" s="808"/>
      <c r="WE884" s="808"/>
      <c r="WF884" s="808"/>
      <c r="WG884" s="808"/>
      <c r="WH884" s="808"/>
      <c r="WI884" s="808"/>
      <c r="WJ884" s="808"/>
      <c r="WK884" s="808"/>
      <c r="WL884" s="808"/>
      <c r="WM884" s="808"/>
      <c r="WN884" s="808"/>
      <c r="WO884" s="808"/>
      <c r="WP884" s="808"/>
      <c r="WQ884" s="808"/>
      <c r="WR884" s="808"/>
      <c r="WS884" s="808"/>
      <c r="WT884" s="808"/>
      <c r="WU884" s="808"/>
      <c r="WV884" s="808"/>
      <c r="WW884" s="808"/>
      <c r="WX884" s="808"/>
      <c r="WY884" s="808"/>
      <c r="WZ884" s="808"/>
      <c r="XA884" s="808"/>
      <c r="XB884" s="808"/>
      <c r="XC884" s="808"/>
      <c r="XD884" s="808"/>
      <c r="XE884" s="808"/>
      <c r="XF884" s="808"/>
      <c r="XG884" s="808"/>
      <c r="XH884" s="808"/>
      <c r="XI884" s="808"/>
      <c r="XJ884" s="808"/>
      <c r="XK884" s="808"/>
      <c r="XL884" s="808"/>
      <c r="XM884" s="808"/>
      <c r="XN884" s="808"/>
      <c r="XO884" s="808"/>
      <c r="XP884" s="808"/>
      <c r="XQ884" s="808"/>
      <c r="XR884" s="808"/>
      <c r="XS884" s="808"/>
      <c r="XT884" s="808"/>
      <c r="XU884" s="808"/>
      <c r="XV884" s="808"/>
      <c r="XW884" s="808"/>
      <c r="XX884" s="808"/>
      <c r="XY884" s="808"/>
      <c r="XZ884" s="808"/>
      <c r="YA884" s="808"/>
      <c r="YB884" s="808"/>
      <c r="YC884" s="808"/>
      <c r="YD884" s="808"/>
      <c r="YE884" s="808"/>
      <c r="YF884" s="808"/>
      <c r="YG884" s="808"/>
      <c r="YH884" s="808"/>
      <c r="YI884" s="808"/>
      <c r="YJ884" s="808"/>
      <c r="YK884" s="808"/>
      <c r="YL884" s="808"/>
      <c r="YM884" s="808"/>
      <c r="YN884" s="808"/>
      <c r="YO884" s="808"/>
      <c r="YP884" s="808"/>
      <c r="YQ884" s="808"/>
      <c r="YR884" s="808"/>
      <c r="YS884" s="808"/>
      <c r="YT884" s="808"/>
      <c r="YU884" s="808"/>
      <c r="YV884" s="808"/>
      <c r="YW884" s="808"/>
      <c r="YX884" s="808"/>
      <c r="YY884" s="808"/>
      <c r="YZ884" s="808"/>
      <c r="ZA884" s="808"/>
      <c r="ZB884" s="808"/>
      <c r="ZC884" s="808"/>
      <c r="ZD884" s="808"/>
      <c r="ZE884" s="808"/>
      <c r="ZF884" s="808"/>
      <c r="ZG884" s="808"/>
      <c r="ZH884" s="808"/>
      <c r="ZI884" s="808"/>
      <c r="ZJ884" s="808"/>
      <c r="ZK884" s="808"/>
      <c r="ZL884" s="808"/>
      <c r="ZM884" s="808"/>
      <c r="ZN884" s="808"/>
      <c r="ZO884" s="808"/>
      <c r="ZP884" s="808"/>
      <c r="ZQ884" s="808"/>
      <c r="ZR884" s="808"/>
      <c r="ZS884" s="808"/>
      <c r="ZT884" s="808"/>
      <c r="ZU884" s="808"/>
      <c r="ZV884" s="808"/>
      <c r="ZW884" s="808"/>
      <c r="ZX884" s="808"/>
      <c r="ZY884" s="808"/>
      <c r="ZZ884" s="808"/>
      <c r="AAA884" s="808"/>
      <c r="AAB884" s="808"/>
      <c r="AAC884" s="808"/>
      <c r="AAD884" s="808"/>
      <c r="AAE884" s="808"/>
      <c r="AAF884" s="808"/>
      <c r="AAG884" s="808"/>
      <c r="AAH884" s="808"/>
      <c r="AAI884" s="808"/>
      <c r="AAJ884" s="808"/>
      <c r="AAK884" s="808"/>
      <c r="AAL884" s="808"/>
      <c r="AAM884" s="808"/>
      <c r="AAN884" s="808"/>
      <c r="AAO884" s="808"/>
      <c r="AAP884" s="808"/>
      <c r="AAQ884" s="808"/>
      <c r="AAR884" s="808"/>
      <c r="AAS884" s="808"/>
      <c r="AAT884" s="808"/>
      <c r="AAU884" s="808"/>
      <c r="AAV884" s="808"/>
      <c r="AAW884" s="808"/>
      <c r="AAX884" s="808"/>
      <c r="AAY884" s="808"/>
      <c r="AAZ884" s="808"/>
      <c r="ABA884" s="808"/>
      <c r="ABB884" s="808"/>
      <c r="ABC884" s="808"/>
      <c r="ABD884" s="808"/>
      <c r="ABE884" s="808"/>
      <c r="ABF884" s="808"/>
      <c r="ABG884" s="808"/>
      <c r="ABH884" s="808"/>
      <c r="ABI884" s="808"/>
      <c r="ABJ884" s="808"/>
      <c r="ABK884" s="808"/>
      <c r="ABL884" s="808"/>
      <c r="ABM884" s="808"/>
      <c r="ABN884" s="808"/>
      <c r="ABO884" s="808"/>
      <c r="ABP884" s="808"/>
      <c r="ABQ884" s="808"/>
      <c r="ABR884" s="808"/>
      <c r="ABS884" s="808"/>
      <c r="ABT884" s="808"/>
      <c r="ABU884" s="808"/>
      <c r="ABV884" s="808"/>
      <c r="ABW884" s="808"/>
      <c r="ABX884" s="808"/>
      <c r="ABY884" s="808"/>
      <c r="ABZ884" s="808"/>
      <c r="ACA884" s="808"/>
      <c r="ACB884" s="808"/>
      <c r="ACC884" s="808"/>
      <c r="ACD884" s="808"/>
      <c r="ACE884" s="808"/>
      <c r="ACF884" s="808"/>
      <c r="ACG884" s="808"/>
      <c r="ACH884" s="808"/>
      <c r="ACI884" s="808"/>
      <c r="ACJ884" s="808"/>
      <c r="ACK884" s="808"/>
      <c r="ACL884" s="808"/>
      <c r="ACM884" s="808"/>
      <c r="ACN884" s="808"/>
      <c r="ACO884" s="808"/>
      <c r="ACP884" s="808"/>
      <c r="ACQ884" s="808"/>
      <c r="ACR884" s="808"/>
      <c r="ACS884" s="808"/>
      <c r="ACT884" s="808"/>
      <c r="ACU884" s="808"/>
      <c r="ACV884" s="808"/>
      <c r="ACW884" s="808"/>
      <c r="ACX884" s="808"/>
      <c r="ACY884" s="808"/>
      <c r="ACZ884" s="808"/>
      <c r="ADA884" s="808"/>
      <c r="ADB884" s="808"/>
      <c r="ADC884" s="808"/>
      <c r="ADD884" s="808"/>
      <c r="ADE884" s="808"/>
      <c r="ADF884" s="808"/>
      <c r="ADG884" s="808"/>
      <c r="ADH884" s="808"/>
      <c r="ADI884" s="808"/>
      <c r="ADJ884" s="808"/>
      <c r="ADK884" s="808"/>
      <c r="ADL884" s="808"/>
      <c r="ADM884" s="808"/>
      <c r="ADN884" s="808"/>
      <c r="ADO884" s="808"/>
      <c r="ADP884" s="808"/>
      <c r="ADQ884" s="808"/>
      <c r="ADR884" s="808"/>
      <c r="ADS884" s="808"/>
      <c r="ADT884" s="808"/>
      <c r="ADU884" s="808"/>
      <c r="ADV884" s="808"/>
      <c r="ADW884" s="808"/>
      <c r="ADX884" s="808"/>
      <c r="ADY884" s="808"/>
      <c r="ADZ884" s="808"/>
      <c r="AEA884" s="808"/>
      <c r="AEB884" s="808"/>
      <c r="AEC884" s="808"/>
      <c r="AED884" s="808"/>
      <c r="AEE884" s="808"/>
      <c r="AEF884" s="808"/>
      <c r="AEG884" s="808"/>
      <c r="AEH884" s="808"/>
      <c r="AEI884" s="808"/>
      <c r="AEJ884" s="808"/>
      <c r="AEK884" s="808"/>
      <c r="AEL884" s="808"/>
      <c r="AEM884" s="808"/>
      <c r="AEN884" s="808"/>
      <c r="AEO884" s="808"/>
      <c r="AEP884" s="808"/>
      <c r="AEQ884" s="808"/>
      <c r="AER884" s="808"/>
      <c r="AES884" s="808"/>
      <c r="AET884" s="808"/>
      <c r="AEU884" s="808"/>
      <c r="AEV884" s="808"/>
      <c r="AEW884" s="808"/>
      <c r="AEX884" s="808"/>
      <c r="AEY884" s="808"/>
      <c r="AEZ884" s="808"/>
      <c r="AFA884" s="808"/>
      <c r="AFB884" s="808"/>
      <c r="AFC884" s="808"/>
      <c r="AFD884" s="808"/>
      <c r="AFE884" s="808"/>
      <c r="AFF884" s="808"/>
      <c r="AFG884" s="808"/>
      <c r="AFH884" s="808"/>
      <c r="AFI884" s="808"/>
      <c r="AFJ884" s="808"/>
      <c r="AFK884" s="808"/>
      <c r="AFL884" s="808"/>
      <c r="AFM884" s="808"/>
      <c r="AFN884" s="808"/>
      <c r="AFO884" s="808"/>
      <c r="AFP884" s="808"/>
      <c r="AFQ884" s="808"/>
      <c r="AFR884" s="808"/>
      <c r="AFS884" s="808"/>
      <c r="AFT884" s="808"/>
      <c r="AFU884" s="808"/>
      <c r="AFV884" s="808"/>
      <c r="AFW884" s="808"/>
      <c r="AFX884" s="808"/>
      <c r="AFY884" s="808"/>
      <c r="AFZ884" s="808"/>
      <c r="AGA884" s="808"/>
      <c r="AGB884" s="808"/>
      <c r="AGC884" s="808"/>
      <c r="AGD884" s="808"/>
      <c r="AGE884" s="808"/>
      <c r="AGF884" s="808"/>
      <c r="AGG884" s="808"/>
      <c r="AGH884" s="808"/>
      <c r="AGI884" s="808"/>
      <c r="AGJ884" s="808"/>
    </row>
    <row r="885" spans="1:868" s="7" customFormat="1" hidden="1">
      <c r="A885" s="609" t="s">
        <v>118</v>
      </c>
      <c r="B885" s="59" t="s">
        <v>437</v>
      </c>
      <c r="C885" s="40" t="s">
        <v>139</v>
      </c>
      <c r="D885" s="34" t="s">
        <v>99</v>
      </c>
      <c r="E885" s="859">
        <v>1.9881068607437654E-2</v>
      </c>
      <c r="F885" s="34">
        <v>2</v>
      </c>
      <c r="G885" s="40" t="s">
        <v>429</v>
      </c>
      <c r="H885" s="29">
        <v>1</v>
      </c>
      <c r="I885" s="9">
        <v>2</v>
      </c>
      <c r="J885" s="9">
        <v>2</v>
      </c>
      <c r="K885" s="9">
        <v>1</v>
      </c>
      <c r="L885" s="9">
        <v>1</v>
      </c>
      <c r="M885" s="9">
        <v>2</v>
      </c>
      <c r="N885" s="185">
        <f t="shared" si="66"/>
        <v>0.35859414261160716</v>
      </c>
      <c r="O885" s="159">
        <f t="shared" si="65"/>
        <v>0.37356464144298934</v>
      </c>
      <c r="P885" s="843"/>
      <c r="Q885" s="808"/>
      <c r="R885" s="808"/>
      <c r="S885" s="808"/>
      <c r="T885" s="808"/>
      <c r="U885" s="808"/>
      <c r="V885" s="808"/>
      <c r="W885" s="808"/>
      <c r="X885" s="808"/>
      <c r="Y885" s="808"/>
      <c r="Z885" s="808"/>
      <c r="AA885" s="808"/>
      <c r="AB885" s="808"/>
      <c r="AC885" s="808"/>
      <c r="AD885" s="808"/>
      <c r="AE885" s="808"/>
      <c r="AF885" s="808"/>
      <c r="AG885" s="808"/>
      <c r="AH885" s="808"/>
      <c r="AI885" s="808"/>
      <c r="AJ885" s="808"/>
      <c r="AK885" s="808"/>
      <c r="AL885" s="808"/>
      <c r="AM885" s="808"/>
      <c r="AN885" s="808"/>
      <c r="AO885" s="808"/>
      <c r="AP885" s="808"/>
      <c r="AQ885" s="808"/>
      <c r="AR885" s="808"/>
      <c r="AS885" s="808"/>
      <c r="AT885" s="808"/>
      <c r="AU885" s="808"/>
      <c r="AV885" s="808"/>
      <c r="AW885" s="808"/>
      <c r="AX885" s="808"/>
      <c r="AY885" s="808"/>
      <c r="AZ885" s="808"/>
      <c r="BA885" s="808"/>
      <c r="BB885" s="808"/>
      <c r="BC885" s="808"/>
      <c r="BD885" s="808"/>
      <c r="BE885" s="808"/>
      <c r="BF885" s="808"/>
      <c r="BG885" s="808"/>
      <c r="BH885" s="808"/>
      <c r="BI885" s="808"/>
      <c r="BJ885" s="808"/>
      <c r="BK885" s="808"/>
      <c r="BL885" s="808"/>
      <c r="BM885" s="808"/>
      <c r="BN885" s="808"/>
      <c r="BO885" s="808"/>
      <c r="BP885" s="808"/>
      <c r="BQ885" s="808"/>
      <c r="BR885" s="808"/>
      <c r="BS885" s="808"/>
      <c r="BT885" s="808"/>
      <c r="BU885" s="808"/>
      <c r="BV885" s="808"/>
      <c r="BW885" s="808"/>
      <c r="BX885" s="808"/>
      <c r="BY885" s="808"/>
      <c r="BZ885" s="808"/>
      <c r="CA885" s="808"/>
      <c r="CB885" s="808"/>
      <c r="CC885" s="808"/>
      <c r="CD885" s="808"/>
      <c r="CE885" s="808"/>
      <c r="CF885" s="808"/>
      <c r="CG885" s="808"/>
      <c r="CH885" s="808"/>
      <c r="CI885" s="808"/>
      <c r="CJ885" s="808"/>
      <c r="CK885" s="808"/>
      <c r="CL885" s="808"/>
      <c r="CM885" s="808"/>
      <c r="CN885" s="808"/>
      <c r="CO885" s="808"/>
      <c r="CP885" s="808"/>
      <c r="CQ885" s="808"/>
      <c r="CR885" s="808"/>
      <c r="CS885" s="808"/>
      <c r="CT885" s="808"/>
      <c r="CU885" s="808"/>
      <c r="CV885" s="808"/>
      <c r="CW885" s="808"/>
      <c r="CX885" s="808"/>
      <c r="CY885" s="808"/>
      <c r="CZ885" s="808"/>
      <c r="DA885" s="808"/>
      <c r="DB885" s="808"/>
      <c r="DC885" s="808"/>
      <c r="DD885" s="808"/>
      <c r="DE885" s="808"/>
      <c r="DF885" s="808"/>
      <c r="DG885" s="808"/>
      <c r="DH885" s="808"/>
      <c r="DI885" s="808"/>
      <c r="DJ885" s="808"/>
      <c r="DK885" s="808"/>
      <c r="DL885" s="808"/>
      <c r="DM885" s="808"/>
      <c r="DN885" s="808"/>
      <c r="DO885" s="808"/>
      <c r="DP885" s="808"/>
      <c r="DQ885" s="808"/>
      <c r="DR885" s="808"/>
      <c r="DS885" s="808"/>
      <c r="DT885" s="808"/>
      <c r="DU885" s="808"/>
      <c r="DV885" s="808"/>
      <c r="DW885" s="808"/>
      <c r="DX885" s="808"/>
      <c r="DY885" s="808"/>
      <c r="DZ885" s="808"/>
      <c r="EA885" s="808"/>
      <c r="EB885" s="808"/>
      <c r="EC885" s="808"/>
      <c r="ED885" s="808"/>
      <c r="EE885" s="808"/>
      <c r="EF885" s="808"/>
      <c r="EG885" s="808"/>
      <c r="EH885" s="808"/>
      <c r="EI885" s="808"/>
      <c r="EJ885" s="808"/>
      <c r="EK885" s="808"/>
      <c r="EL885" s="808"/>
      <c r="EM885" s="808"/>
      <c r="EN885" s="808"/>
      <c r="EO885" s="808"/>
      <c r="EP885" s="808"/>
      <c r="EQ885" s="808"/>
      <c r="ER885" s="808"/>
      <c r="ES885" s="808"/>
      <c r="ET885" s="808"/>
      <c r="EU885" s="808"/>
      <c r="EV885" s="808"/>
      <c r="EW885" s="808"/>
      <c r="EX885" s="808"/>
      <c r="EY885" s="808"/>
      <c r="EZ885" s="808"/>
      <c r="FA885" s="808"/>
      <c r="FB885" s="808"/>
      <c r="FC885" s="808"/>
      <c r="FD885" s="808"/>
      <c r="FE885" s="808"/>
      <c r="FF885" s="808"/>
      <c r="FG885" s="808"/>
      <c r="FH885" s="808"/>
      <c r="FI885" s="808"/>
      <c r="FJ885" s="808"/>
      <c r="FK885" s="808"/>
      <c r="FL885" s="808"/>
      <c r="FM885" s="808"/>
      <c r="FN885" s="808"/>
      <c r="FO885" s="808"/>
      <c r="FP885" s="808"/>
      <c r="FQ885" s="808"/>
      <c r="FR885" s="808"/>
      <c r="FS885" s="808"/>
      <c r="FT885" s="808"/>
      <c r="FU885" s="808"/>
      <c r="FV885" s="808"/>
      <c r="FW885" s="808"/>
      <c r="FX885" s="808"/>
      <c r="FY885" s="808"/>
      <c r="FZ885" s="808"/>
      <c r="GA885" s="808"/>
      <c r="GB885" s="808"/>
      <c r="GC885" s="808"/>
      <c r="GD885" s="808"/>
      <c r="GE885" s="808"/>
      <c r="GF885" s="808"/>
      <c r="GG885" s="808"/>
      <c r="GH885" s="808"/>
      <c r="GI885" s="808"/>
      <c r="GJ885" s="808"/>
      <c r="GK885" s="808"/>
      <c r="GL885" s="808"/>
      <c r="GM885" s="808"/>
      <c r="GN885" s="808"/>
      <c r="GO885" s="808"/>
      <c r="GP885" s="808"/>
      <c r="GQ885" s="808"/>
      <c r="GR885" s="808"/>
      <c r="GS885" s="808"/>
      <c r="GT885" s="808"/>
      <c r="GU885" s="808"/>
      <c r="GV885" s="808"/>
      <c r="GW885" s="808"/>
      <c r="GX885" s="808"/>
      <c r="GY885" s="808"/>
      <c r="GZ885" s="808"/>
      <c r="HA885" s="808"/>
      <c r="HB885" s="808"/>
      <c r="HC885" s="808"/>
      <c r="HD885" s="808"/>
      <c r="HE885" s="808"/>
      <c r="HF885" s="808"/>
      <c r="HG885" s="808"/>
      <c r="HH885" s="808"/>
      <c r="HI885" s="808"/>
      <c r="HJ885" s="808"/>
      <c r="HK885" s="808"/>
      <c r="HL885" s="808"/>
      <c r="HM885" s="808"/>
      <c r="HN885" s="808"/>
      <c r="HO885" s="808"/>
      <c r="HP885" s="808"/>
      <c r="HQ885" s="808"/>
      <c r="HR885" s="808"/>
      <c r="HS885" s="808"/>
      <c r="HT885" s="808"/>
      <c r="HU885" s="808"/>
      <c r="HV885" s="808"/>
      <c r="HW885" s="808"/>
      <c r="HX885" s="808"/>
      <c r="HY885" s="808"/>
      <c r="HZ885" s="808"/>
      <c r="IA885" s="808"/>
      <c r="IB885" s="808"/>
      <c r="IC885" s="808"/>
      <c r="ID885" s="808"/>
      <c r="IE885" s="808"/>
      <c r="IF885" s="808"/>
      <c r="IG885" s="808"/>
      <c r="IH885" s="808"/>
      <c r="II885" s="808"/>
      <c r="IJ885" s="808"/>
      <c r="IK885" s="808"/>
      <c r="IL885" s="808"/>
      <c r="IM885" s="808"/>
      <c r="IN885" s="808"/>
      <c r="IO885" s="808"/>
      <c r="IP885" s="808"/>
      <c r="IQ885" s="808"/>
      <c r="IR885" s="808"/>
      <c r="IS885" s="808"/>
      <c r="IT885" s="808"/>
      <c r="IU885" s="808"/>
      <c r="IV885" s="808"/>
      <c r="IW885" s="808"/>
      <c r="IX885" s="808"/>
      <c r="IY885" s="808"/>
      <c r="IZ885" s="808"/>
      <c r="JA885" s="808"/>
      <c r="JB885" s="808"/>
      <c r="JC885" s="808"/>
      <c r="JD885" s="808"/>
      <c r="JE885" s="808"/>
      <c r="JF885" s="808"/>
      <c r="JG885" s="808"/>
      <c r="JH885" s="808"/>
      <c r="JI885" s="808"/>
      <c r="JJ885" s="808"/>
      <c r="JK885" s="808"/>
      <c r="JL885" s="808"/>
      <c r="JM885" s="808"/>
      <c r="JN885" s="808"/>
      <c r="JO885" s="808"/>
      <c r="JP885" s="808"/>
      <c r="JQ885" s="808"/>
      <c r="JR885" s="808"/>
      <c r="JS885" s="808"/>
      <c r="JT885" s="808"/>
      <c r="JU885" s="808"/>
      <c r="JV885" s="808"/>
      <c r="JW885" s="808"/>
      <c r="JX885" s="808"/>
      <c r="JY885" s="808"/>
      <c r="JZ885" s="808"/>
      <c r="KA885" s="808"/>
      <c r="KB885" s="808"/>
      <c r="KC885" s="808"/>
      <c r="KD885" s="808"/>
      <c r="KE885" s="808"/>
      <c r="KF885" s="808"/>
      <c r="KG885" s="808"/>
      <c r="KH885" s="808"/>
      <c r="KI885" s="808"/>
      <c r="KJ885" s="808"/>
      <c r="KK885" s="808"/>
      <c r="KL885" s="808"/>
      <c r="KM885" s="808"/>
      <c r="KN885" s="808"/>
      <c r="KO885" s="808"/>
      <c r="KP885" s="808"/>
      <c r="KQ885" s="808"/>
      <c r="KR885" s="808"/>
      <c r="KS885" s="808"/>
      <c r="KT885" s="808"/>
      <c r="KU885" s="808"/>
      <c r="KV885" s="808"/>
      <c r="KW885" s="808"/>
      <c r="KX885" s="808"/>
      <c r="KY885" s="808"/>
      <c r="KZ885" s="808"/>
      <c r="LA885" s="808"/>
      <c r="LB885" s="808"/>
      <c r="LC885" s="808"/>
      <c r="LD885" s="808"/>
      <c r="LE885" s="808"/>
      <c r="LF885" s="808"/>
      <c r="LG885" s="808"/>
      <c r="LH885" s="808"/>
      <c r="LI885" s="808"/>
      <c r="LJ885" s="808"/>
      <c r="LK885" s="808"/>
      <c r="LL885" s="808"/>
      <c r="LM885" s="808"/>
      <c r="LN885" s="808"/>
      <c r="LO885" s="808"/>
      <c r="LP885" s="808"/>
      <c r="LQ885" s="808"/>
      <c r="LR885" s="808"/>
      <c r="LS885" s="808"/>
      <c r="LT885" s="808"/>
      <c r="LU885" s="808"/>
      <c r="LV885" s="808"/>
      <c r="LW885" s="808"/>
      <c r="LX885" s="808"/>
      <c r="LY885" s="808"/>
      <c r="LZ885" s="808"/>
      <c r="MA885" s="808"/>
      <c r="MB885" s="808"/>
      <c r="MC885" s="808"/>
      <c r="MD885" s="808"/>
      <c r="ME885" s="808"/>
      <c r="MF885" s="808"/>
      <c r="MG885" s="808"/>
      <c r="MH885" s="808"/>
      <c r="MI885" s="808"/>
      <c r="MJ885" s="808"/>
      <c r="MK885" s="808"/>
      <c r="ML885" s="808"/>
      <c r="MM885" s="808"/>
      <c r="MN885" s="808"/>
      <c r="MO885" s="808"/>
      <c r="MP885" s="808"/>
      <c r="MQ885" s="808"/>
      <c r="MR885" s="808"/>
      <c r="MS885" s="808"/>
      <c r="MT885" s="808"/>
      <c r="MU885" s="808"/>
      <c r="MV885" s="808"/>
      <c r="MW885" s="808"/>
      <c r="MX885" s="808"/>
      <c r="MY885" s="808"/>
      <c r="MZ885" s="808"/>
      <c r="NA885" s="808"/>
      <c r="NB885" s="808"/>
      <c r="NC885" s="808"/>
      <c r="ND885" s="808"/>
      <c r="NE885" s="808"/>
      <c r="NF885" s="808"/>
      <c r="NG885" s="808"/>
      <c r="NH885" s="808"/>
      <c r="NI885" s="808"/>
      <c r="NJ885" s="808"/>
      <c r="NK885" s="808"/>
      <c r="NL885" s="808"/>
      <c r="NM885" s="808"/>
      <c r="NN885" s="808"/>
      <c r="NO885" s="808"/>
      <c r="NP885" s="808"/>
      <c r="NQ885" s="808"/>
      <c r="NR885" s="808"/>
      <c r="NS885" s="808"/>
      <c r="NT885" s="808"/>
      <c r="NU885" s="808"/>
      <c r="NV885" s="808"/>
      <c r="NW885" s="808"/>
      <c r="NX885" s="808"/>
      <c r="NY885" s="808"/>
      <c r="NZ885" s="808"/>
      <c r="OA885" s="808"/>
      <c r="OB885" s="808"/>
      <c r="OC885" s="808"/>
      <c r="OD885" s="808"/>
      <c r="OE885" s="808"/>
      <c r="OF885" s="808"/>
      <c r="OG885" s="808"/>
      <c r="OH885" s="808"/>
      <c r="OI885" s="808"/>
      <c r="OJ885" s="808"/>
      <c r="OK885" s="808"/>
      <c r="OL885" s="808"/>
      <c r="OM885" s="808"/>
      <c r="ON885" s="808"/>
      <c r="OO885" s="808"/>
      <c r="OP885" s="808"/>
      <c r="OQ885" s="808"/>
      <c r="OR885" s="808"/>
      <c r="OS885" s="808"/>
      <c r="OT885" s="808"/>
      <c r="OU885" s="808"/>
      <c r="OV885" s="808"/>
      <c r="OW885" s="808"/>
      <c r="OX885" s="808"/>
      <c r="OY885" s="808"/>
      <c r="OZ885" s="808"/>
      <c r="PA885" s="808"/>
      <c r="PB885" s="808"/>
      <c r="PC885" s="808"/>
      <c r="PD885" s="808"/>
      <c r="PE885" s="808"/>
      <c r="PF885" s="808"/>
      <c r="PG885" s="808"/>
      <c r="PH885" s="808"/>
      <c r="PI885" s="808"/>
      <c r="PJ885" s="808"/>
      <c r="PK885" s="808"/>
      <c r="PL885" s="808"/>
      <c r="PM885" s="808"/>
      <c r="PN885" s="808"/>
      <c r="PO885" s="808"/>
      <c r="PP885" s="808"/>
      <c r="PQ885" s="808"/>
      <c r="PR885" s="808"/>
      <c r="PS885" s="808"/>
      <c r="PT885" s="808"/>
      <c r="PU885" s="808"/>
      <c r="PV885" s="808"/>
      <c r="PW885" s="808"/>
      <c r="PX885" s="808"/>
      <c r="PY885" s="808"/>
      <c r="PZ885" s="808"/>
      <c r="QA885" s="808"/>
      <c r="QB885" s="808"/>
      <c r="QC885" s="808"/>
      <c r="QD885" s="808"/>
      <c r="QE885" s="808"/>
      <c r="QF885" s="808"/>
      <c r="QG885" s="808"/>
      <c r="QH885" s="808"/>
      <c r="QI885" s="808"/>
      <c r="QJ885" s="808"/>
      <c r="QK885" s="808"/>
      <c r="QL885" s="808"/>
      <c r="QM885" s="808"/>
      <c r="QN885" s="808"/>
      <c r="QO885" s="808"/>
      <c r="QP885" s="808"/>
      <c r="QQ885" s="808"/>
      <c r="QR885" s="808"/>
      <c r="QS885" s="808"/>
      <c r="QT885" s="808"/>
      <c r="QU885" s="808"/>
      <c r="QV885" s="808"/>
      <c r="QW885" s="808"/>
      <c r="QX885" s="808"/>
      <c r="QY885" s="808"/>
      <c r="QZ885" s="808"/>
      <c r="RA885" s="808"/>
      <c r="RB885" s="808"/>
      <c r="RC885" s="808"/>
      <c r="RD885" s="808"/>
      <c r="RE885" s="808"/>
      <c r="RF885" s="808"/>
      <c r="RG885" s="808"/>
      <c r="RH885" s="808"/>
      <c r="RI885" s="808"/>
      <c r="RJ885" s="808"/>
      <c r="RK885" s="808"/>
      <c r="RL885" s="808"/>
      <c r="RM885" s="808"/>
      <c r="RN885" s="808"/>
      <c r="RO885" s="808"/>
      <c r="RP885" s="808"/>
      <c r="RQ885" s="808"/>
      <c r="RR885" s="808"/>
      <c r="RS885" s="808"/>
      <c r="RT885" s="808"/>
      <c r="RU885" s="808"/>
      <c r="RV885" s="808"/>
      <c r="RW885" s="808"/>
      <c r="RX885" s="808"/>
      <c r="RY885" s="808"/>
      <c r="RZ885" s="808"/>
      <c r="SA885" s="808"/>
      <c r="SB885" s="808"/>
      <c r="SC885" s="808"/>
      <c r="SD885" s="808"/>
      <c r="SE885" s="808"/>
      <c r="SF885" s="808"/>
      <c r="SG885" s="808"/>
      <c r="SH885" s="808"/>
      <c r="SI885" s="808"/>
      <c r="SJ885" s="808"/>
      <c r="SK885" s="808"/>
      <c r="SL885" s="808"/>
      <c r="SM885" s="808"/>
      <c r="SN885" s="808"/>
      <c r="SO885" s="808"/>
      <c r="SP885" s="808"/>
      <c r="SQ885" s="808"/>
      <c r="SR885" s="808"/>
      <c r="SS885" s="808"/>
      <c r="ST885" s="808"/>
      <c r="SU885" s="808"/>
      <c r="SV885" s="808"/>
      <c r="SW885" s="808"/>
      <c r="SX885" s="808"/>
      <c r="SY885" s="808"/>
      <c r="SZ885" s="808"/>
      <c r="TA885" s="808"/>
      <c r="TB885" s="808"/>
      <c r="TC885" s="808"/>
      <c r="TD885" s="808"/>
      <c r="TE885" s="808"/>
      <c r="TF885" s="808"/>
      <c r="TG885" s="808"/>
      <c r="TH885" s="808"/>
      <c r="TI885" s="808"/>
      <c r="TJ885" s="808"/>
      <c r="TK885" s="808"/>
      <c r="TL885" s="808"/>
      <c r="TM885" s="808"/>
      <c r="TN885" s="808"/>
      <c r="TO885" s="808"/>
      <c r="TP885" s="808"/>
      <c r="TQ885" s="808"/>
      <c r="TR885" s="808"/>
      <c r="TS885" s="808"/>
      <c r="TT885" s="808"/>
      <c r="TU885" s="808"/>
      <c r="TV885" s="808"/>
      <c r="TW885" s="808"/>
      <c r="TX885" s="808"/>
      <c r="TY885" s="808"/>
      <c r="TZ885" s="808"/>
      <c r="UA885" s="808"/>
      <c r="UB885" s="808"/>
      <c r="UC885" s="808"/>
      <c r="UD885" s="808"/>
      <c r="UE885" s="808"/>
      <c r="UF885" s="808"/>
      <c r="UG885" s="808"/>
      <c r="UH885" s="808"/>
      <c r="UI885" s="808"/>
      <c r="UJ885" s="808"/>
      <c r="UK885" s="808"/>
      <c r="UL885" s="808"/>
      <c r="UM885" s="808"/>
      <c r="UN885" s="808"/>
      <c r="UO885" s="808"/>
      <c r="UP885" s="808"/>
      <c r="UQ885" s="808"/>
      <c r="UR885" s="808"/>
      <c r="US885" s="808"/>
      <c r="UT885" s="808"/>
      <c r="UU885" s="808"/>
      <c r="UV885" s="808"/>
      <c r="UW885" s="808"/>
      <c r="UX885" s="808"/>
      <c r="UY885" s="808"/>
      <c r="UZ885" s="808"/>
      <c r="VA885" s="808"/>
      <c r="VB885" s="808"/>
      <c r="VC885" s="808"/>
      <c r="VD885" s="808"/>
      <c r="VE885" s="808"/>
      <c r="VF885" s="808"/>
      <c r="VG885" s="808"/>
      <c r="VH885" s="808"/>
      <c r="VI885" s="808"/>
      <c r="VJ885" s="808"/>
      <c r="VK885" s="808"/>
      <c r="VL885" s="808"/>
      <c r="VM885" s="808"/>
      <c r="VN885" s="808"/>
      <c r="VO885" s="808"/>
      <c r="VP885" s="808"/>
      <c r="VQ885" s="808"/>
      <c r="VR885" s="808"/>
      <c r="VS885" s="808"/>
      <c r="VT885" s="808"/>
      <c r="VU885" s="808"/>
      <c r="VV885" s="808"/>
      <c r="VW885" s="808"/>
      <c r="VX885" s="808"/>
      <c r="VY885" s="808"/>
      <c r="VZ885" s="808"/>
      <c r="WA885" s="808"/>
      <c r="WB885" s="808"/>
      <c r="WC885" s="808"/>
      <c r="WD885" s="808"/>
      <c r="WE885" s="808"/>
      <c r="WF885" s="808"/>
      <c r="WG885" s="808"/>
      <c r="WH885" s="808"/>
      <c r="WI885" s="808"/>
      <c r="WJ885" s="808"/>
      <c r="WK885" s="808"/>
      <c r="WL885" s="808"/>
      <c r="WM885" s="808"/>
      <c r="WN885" s="808"/>
      <c r="WO885" s="808"/>
      <c r="WP885" s="808"/>
      <c r="WQ885" s="808"/>
      <c r="WR885" s="808"/>
      <c r="WS885" s="808"/>
      <c r="WT885" s="808"/>
      <c r="WU885" s="808"/>
      <c r="WV885" s="808"/>
      <c r="WW885" s="808"/>
      <c r="WX885" s="808"/>
      <c r="WY885" s="808"/>
      <c r="WZ885" s="808"/>
      <c r="XA885" s="808"/>
      <c r="XB885" s="808"/>
      <c r="XC885" s="808"/>
      <c r="XD885" s="808"/>
      <c r="XE885" s="808"/>
      <c r="XF885" s="808"/>
      <c r="XG885" s="808"/>
      <c r="XH885" s="808"/>
      <c r="XI885" s="808"/>
      <c r="XJ885" s="808"/>
      <c r="XK885" s="808"/>
      <c r="XL885" s="808"/>
      <c r="XM885" s="808"/>
      <c r="XN885" s="808"/>
      <c r="XO885" s="808"/>
      <c r="XP885" s="808"/>
      <c r="XQ885" s="808"/>
      <c r="XR885" s="808"/>
      <c r="XS885" s="808"/>
      <c r="XT885" s="808"/>
      <c r="XU885" s="808"/>
      <c r="XV885" s="808"/>
      <c r="XW885" s="808"/>
      <c r="XX885" s="808"/>
      <c r="XY885" s="808"/>
      <c r="XZ885" s="808"/>
      <c r="YA885" s="808"/>
      <c r="YB885" s="808"/>
      <c r="YC885" s="808"/>
      <c r="YD885" s="808"/>
      <c r="YE885" s="808"/>
      <c r="YF885" s="808"/>
      <c r="YG885" s="808"/>
      <c r="YH885" s="808"/>
      <c r="YI885" s="808"/>
      <c r="YJ885" s="808"/>
      <c r="YK885" s="808"/>
      <c r="YL885" s="808"/>
      <c r="YM885" s="808"/>
      <c r="YN885" s="808"/>
      <c r="YO885" s="808"/>
      <c r="YP885" s="808"/>
      <c r="YQ885" s="808"/>
      <c r="YR885" s="808"/>
      <c r="YS885" s="808"/>
      <c r="YT885" s="808"/>
      <c r="YU885" s="808"/>
      <c r="YV885" s="808"/>
      <c r="YW885" s="808"/>
      <c r="YX885" s="808"/>
      <c r="YY885" s="808"/>
      <c r="YZ885" s="808"/>
      <c r="ZA885" s="808"/>
      <c r="ZB885" s="808"/>
      <c r="ZC885" s="808"/>
      <c r="ZD885" s="808"/>
      <c r="ZE885" s="808"/>
      <c r="ZF885" s="808"/>
      <c r="ZG885" s="808"/>
      <c r="ZH885" s="808"/>
      <c r="ZI885" s="808"/>
      <c r="ZJ885" s="808"/>
      <c r="ZK885" s="808"/>
      <c r="ZL885" s="808"/>
      <c r="ZM885" s="808"/>
      <c r="ZN885" s="808"/>
      <c r="ZO885" s="808"/>
      <c r="ZP885" s="808"/>
      <c r="ZQ885" s="808"/>
      <c r="ZR885" s="808"/>
      <c r="ZS885" s="808"/>
      <c r="ZT885" s="808"/>
      <c r="ZU885" s="808"/>
      <c r="ZV885" s="808"/>
      <c r="ZW885" s="808"/>
      <c r="ZX885" s="808"/>
      <c r="ZY885" s="808"/>
      <c r="ZZ885" s="808"/>
      <c r="AAA885" s="808"/>
      <c r="AAB885" s="808"/>
      <c r="AAC885" s="808"/>
      <c r="AAD885" s="808"/>
      <c r="AAE885" s="808"/>
      <c r="AAF885" s="808"/>
      <c r="AAG885" s="808"/>
      <c r="AAH885" s="808"/>
      <c r="AAI885" s="808"/>
      <c r="AAJ885" s="808"/>
      <c r="AAK885" s="808"/>
      <c r="AAL885" s="808"/>
      <c r="AAM885" s="808"/>
      <c r="AAN885" s="808"/>
      <c r="AAO885" s="808"/>
      <c r="AAP885" s="808"/>
      <c r="AAQ885" s="808"/>
      <c r="AAR885" s="808"/>
      <c r="AAS885" s="808"/>
      <c r="AAT885" s="808"/>
      <c r="AAU885" s="808"/>
      <c r="AAV885" s="808"/>
      <c r="AAW885" s="808"/>
      <c r="AAX885" s="808"/>
      <c r="AAY885" s="808"/>
      <c r="AAZ885" s="808"/>
      <c r="ABA885" s="808"/>
      <c r="ABB885" s="808"/>
      <c r="ABC885" s="808"/>
      <c r="ABD885" s="808"/>
      <c r="ABE885" s="808"/>
      <c r="ABF885" s="808"/>
      <c r="ABG885" s="808"/>
      <c r="ABH885" s="808"/>
      <c r="ABI885" s="808"/>
      <c r="ABJ885" s="808"/>
      <c r="ABK885" s="808"/>
      <c r="ABL885" s="808"/>
      <c r="ABM885" s="808"/>
      <c r="ABN885" s="808"/>
      <c r="ABO885" s="808"/>
      <c r="ABP885" s="808"/>
      <c r="ABQ885" s="808"/>
      <c r="ABR885" s="808"/>
      <c r="ABS885" s="808"/>
      <c r="ABT885" s="808"/>
      <c r="ABU885" s="808"/>
      <c r="ABV885" s="808"/>
      <c r="ABW885" s="808"/>
      <c r="ABX885" s="808"/>
      <c r="ABY885" s="808"/>
      <c r="ABZ885" s="808"/>
      <c r="ACA885" s="808"/>
      <c r="ACB885" s="808"/>
      <c r="ACC885" s="808"/>
      <c r="ACD885" s="808"/>
      <c r="ACE885" s="808"/>
      <c r="ACF885" s="808"/>
      <c r="ACG885" s="808"/>
      <c r="ACH885" s="808"/>
      <c r="ACI885" s="808"/>
      <c r="ACJ885" s="808"/>
      <c r="ACK885" s="808"/>
      <c r="ACL885" s="808"/>
      <c r="ACM885" s="808"/>
      <c r="ACN885" s="808"/>
      <c r="ACO885" s="808"/>
      <c r="ACP885" s="808"/>
      <c r="ACQ885" s="808"/>
      <c r="ACR885" s="808"/>
      <c r="ACS885" s="808"/>
      <c r="ACT885" s="808"/>
      <c r="ACU885" s="808"/>
      <c r="ACV885" s="808"/>
      <c r="ACW885" s="808"/>
      <c r="ACX885" s="808"/>
      <c r="ACY885" s="808"/>
      <c r="ACZ885" s="808"/>
      <c r="ADA885" s="808"/>
      <c r="ADB885" s="808"/>
      <c r="ADC885" s="808"/>
      <c r="ADD885" s="808"/>
      <c r="ADE885" s="808"/>
      <c r="ADF885" s="808"/>
      <c r="ADG885" s="808"/>
      <c r="ADH885" s="808"/>
      <c r="ADI885" s="808"/>
      <c r="ADJ885" s="808"/>
      <c r="ADK885" s="808"/>
      <c r="ADL885" s="808"/>
      <c r="ADM885" s="808"/>
      <c r="ADN885" s="808"/>
      <c r="ADO885" s="808"/>
      <c r="ADP885" s="808"/>
      <c r="ADQ885" s="808"/>
      <c r="ADR885" s="808"/>
      <c r="ADS885" s="808"/>
      <c r="ADT885" s="808"/>
      <c r="ADU885" s="808"/>
      <c r="ADV885" s="808"/>
      <c r="ADW885" s="808"/>
      <c r="ADX885" s="808"/>
      <c r="ADY885" s="808"/>
      <c r="ADZ885" s="808"/>
      <c r="AEA885" s="808"/>
      <c r="AEB885" s="808"/>
      <c r="AEC885" s="808"/>
      <c r="AED885" s="808"/>
      <c r="AEE885" s="808"/>
      <c r="AEF885" s="808"/>
      <c r="AEG885" s="808"/>
      <c r="AEH885" s="808"/>
      <c r="AEI885" s="808"/>
      <c r="AEJ885" s="808"/>
      <c r="AEK885" s="808"/>
      <c r="AEL885" s="808"/>
      <c r="AEM885" s="808"/>
      <c r="AEN885" s="808"/>
      <c r="AEO885" s="808"/>
      <c r="AEP885" s="808"/>
      <c r="AEQ885" s="808"/>
      <c r="AER885" s="808"/>
      <c r="AES885" s="808"/>
      <c r="AET885" s="808"/>
      <c r="AEU885" s="808"/>
      <c r="AEV885" s="808"/>
      <c r="AEW885" s="808"/>
      <c r="AEX885" s="808"/>
      <c r="AEY885" s="808"/>
      <c r="AEZ885" s="808"/>
      <c r="AFA885" s="808"/>
      <c r="AFB885" s="808"/>
      <c r="AFC885" s="808"/>
      <c r="AFD885" s="808"/>
      <c r="AFE885" s="808"/>
      <c r="AFF885" s="808"/>
      <c r="AFG885" s="808"/>
      <c r="AFH885" s="808"/>
      <c r="AFI885" s="808"/>
      <c r="AFJ885" s="808"/>
      <c r="AFK885" s="808"/>
      <c r="AFL885" s="808"/>
      <c r="AFM885" s="808"/>
      <c r="AFN885" s="808"/>
      <c r="AFO885" s="808"/>
      <c r="AFP885" s="808"/>
      <c r="AFQ885" s="808"/>
      <c r="AFR885" s="808"/>
      <c r="AFS885" s="808"/>
      <c r="AFT885" s="808"/>
      <c r="AFU885" s="808"/>
      <c r="AFV885" s="808"/>
      <c r="AFW885" s="808"/>
      <c r="AFX885" s="808"/>
      <c r="AFY885" s="808"/>
      <c r="AFZ885" s="808"/>
      <c r="AGA885" s="808"/>
      <c r="AGB885" s="808"/>
      <c r="AGC885" s="808"/>
      <c r="AGD885" s="808"/>
      <c r="AGE885" s="808"/>
      <c r="AGF885" s="808"/>
      <c r="AGG885" s="808"/>
      <c r="AGH885" s="808"/>
      <c r="AGI885" s="808"/>
      <c r="AGJ885" s="808"/>
    </row>
    <row r="886" spans="1:868" s="7" customFormat="1" hidden="1">
      <c r="A886" s="609" t="s">
        <v>118</v>
      </c>
      <c r="B886" s="59" t="s">
        <v>438</v>
      </c>
      <c r="C886" s="40" t="s">
        <v>139</v>
      </c>
      <c r="D886" s="34" t="s">
        <v>99</v>
      </c>
      <c r="E886" s="859">
        <v>5.4672938670453558E-2</v>
      </c>
      <c r="F886" s="34">
        <v>2</v>
      </c>
      <c r="G886" s="40" t="s">
        <v>429</v>
      </c>
      <c r="H886" s="29">
        <v>1</v>
      </c>
      <c r="I886" s="9">
        <v>2</v>
      </c>
      <c r="J886" s="9">
        <v>2</v>
      </c>
      <c r="K886" s="9">
        <v>1</v>
      </c>
      <c r="L886" s="9">
        <v>1</v>
      </c>
      <c r="M886" s="9">
        <v>2</v>
      </c>
      <c r="N886" s="185">
        <f t="shared" si="66"/>
        <v>0.35859414261160716</v>
      </c>
      <c r="O886" s="159">
        <f t="shared" si="65"/>
        <v>0.37356464144298934</v>
      </c>
      <c r="P886" s="844"/>
      <c r="Q886" s="808"/>
      <c r="R886" s="808"/>
      <c r="S886" s="808"/>
      <c r="T886" s="808"/>
      <c r="U886" s="808"/>
      <c r="V886" s="808"/>
      <c r="W886" s="808"/>
      <c r="X886" s="808"/>
      <c r="Y886" s="808"/>
      <c r="Z886" s="808"/>
      <c r="AA886" s="808"/>
      <c r="AB886" s="808"/>
      <c r="AC886" s="808"/>
      <c r="AD886" s="808"/>
      <c r="AE886" s="808"/>
      <c r="AF886" s="808"/>
      <c r="AG886" s="808"/>
      <c r="AH886" s="808"/>
      <c r="AI886" s="808"/>
      <c r="AJ886" s="808"/>
      <c r="AK886" s="808"/>
      <c r="AL886" s="808"/>
      <c r="AM886" s="808"/>
      <c r="AN886" s="808"/>
      <c r="AO886" s="808"/>
      <c r="AP886" s="808"/>
      <c r="AQ886" s="808"/>
      <c r="AR886" s="808"/>
      <c r="AS886" s="808"/>
      <c r="AT886" s="808"/>
      <c r="AU886" s="808"/>
      <c r="AV886" s="808"/>
      <c r="AW886" s="808"/>
      <c r="AX886" s="808"/>
      <c r="AY886" s="808"/>
      <c r="AZ886" s="808"/>
      <c r="BA886" s="808"/>
      <c r="BB886" s="808"/>
      <c r="BC886" s="808"/>
      <c r="BD886" s="808"/>
      <c r="BE886" s="808"/>
      <c r="BF886" s="808"/>
      <c r="BG886" s="808"/>
      <c r="BH886" s="808"/>
      <c r="BI886" s="808"/>
      <c r="BJ886" s="808"/>
      <c r="BK886" s="808"/>
      <c r="BL886" s="808"/>
      <c r="BM886" s="808"/>
      <c r="BN886" s="808"/>
      <c r="BO886" s="808"/>
      <c r="BP886" s="808"/>
      <c r="BQ886" s="808"/>
      <c r="BR886" s="808"/>
      <c r="BS886" s="808"/>
      <c r="BT886" s="808"/>
      <c r="BU886" s="808"/>
      <c r="BV886" s="808"/>
      <c r="BW886" s="808"/>
      <c r="BX886" s="808"/>
      <c r="BY886" s="808"/>
      <c r="BZ886" s="808"/>
      <c r="CA886" s="808"/>
      <c r="CB886" s="808"/>
      <c r="CC886" s="808"/>
      <c r="CD886" s="808"/>
      <c r="CE886" s="808"/>
      <c r="CF886" s="808"/>
      <c r="CG886" s="808"/>
      <c r="CH886" s="808"/>
      <c r="CI886" s="808"/>
      <c r="CJ886" s="808"/>
      <c r="CK886" s="808"/>
      <c r="CL886" s="808"/>
      <c r="CM886" s="808"/>
      <c r="CN886" s="808"/>
      <c r="CO886" s="808"/>
      <c r="CP886" s="808"/>
      <c r="CQ886" s="808"/>
      <c r="CR886" s="808"/>
      <c r="CS886" s="808"/>
      <c r="CT886" s="808"/>
      <c r="CU886" s="808"/>
      <c r="CV886" s="808"/>
      <c r="CW886" s="808"/>
      <c r="CX886" s="808"/>
      <c r="CY886" s="808"/>
      <c r="CZ886" s="808"/>
      <c r="DA886" s="808"/>
      <c r="DB886" s="808"/>
      <c r="DC886" s="808"/>
      <c r="DD886" s="808"/>
      <c r="DE886" s="808"/>
      <c r="DF886" s="808"/>
      <c r="DG886" s="808"/>
      <c r="DH886" s="808"/>
      <c r="DI886" s="808"/>
      <c r="DJ886" s="808"/>
      <c r="DK886" s="808"/>
      <c r="DL886" s="808"/>
      <c r="DM886" s="808"/>
      <c r="DN886" s="808"/>
      <c r="DO886" s="808"/>
      <c r="DP886" s="808"/>
      <c r="DQ886" s="808"/>
      <c r="DR886" s="808"/>
      <c r="DS886" s="808"/>
      <c r="DT886" s="808"/>
      <c r="DU886" s="808"/>
      <c r="DV886" s="808"/>
      <c r="DW886" s="808"/>
      <c r="DX886" s="808"/>
      <c r="DY886" s="808"/>
      <c r="DZ886" s="808"/>
      <c r="EA886" s="808"/>
      <c r="EB886" s="808"/>
      <c r="EC886" s="808"/>
      <c r="ED886" s="808"/>
      <c r="EE886" s="808"/>
      <c r="EF886" s="808"/>
      <c r="EG886" s="808"/>
      <c r="EH886" s="808"/>
      <c r="EI886" s="808"/>
      <c r="EJ886" s="808"/>
      <c r="EK886" s="808"/>
      <c r="EL886" s="808"/>
      <c r="EM886" s="808"/>
      <c r="EN886" s="808"/>
      <c r="EO886" s="808"/>
      <c r="EP886" s="808"/>
      <c r="EQ886" s="808"/>
      <c r="ER886" s="808"/>
      <c r="ES886" s="808"/>
      <c r="ET886" s="808"/>
      <c r="EU886" s="808"/>
      <c r="EV886" s="808"/>
      <c r="EW886" s="808"/>
      <c r="EX886" s="808"/>
      <c r="EY886" s="808"/>
      <c r="EZ886" s="808"/>
      <c r="FA886" s="808"/>
      <c r="FB886" s="808"/>
      <c r="FC886" s="808"/>
      <c r="FD886" s="808"/>
      <c r="FE886" s="808"/>
      <c r="FF886" s="808"/>
      <c r="FG886" s="808"/>
      <c r="FH886" s="808"/>
      <c r="FI886" s="808"/>
      <c r="FJ886" s="808"/>
      <c r="FK886" s="808"/>
      <c r="FL886" s="808"/>
      <c r="FM886" s="808"/>
      <c r="FN886" s="808"/>
      <c r="FO886" s="808"/>
      <c r="FP886" s="808"/>
      <c r="FQ886" s="808"/>
      <c r="FR886" s="808"/>
      <c r="FS886" s="808"/>
      <c r="FT886" s="808"/>
      <c r="FU886" s="808"/>
      <c r="FV886" s="808"/>
      <c r="FW886" s="808"/>
      <c r="FX886" s="808"/>
      <c r="FY886" s="808"/>
      <c r="FZ886" s="808"/>
      <c r="GA886" s="808"/>
      <c r="GB886" s="808"/>
      <c r="GC886" s="808"/>
      <c r="GD886" s="808"/>
      <c r="GE886" s="808"/>
      <c r="GF886" s="808"/>
      <c r="GG886" s="808"/>
      <c r="GH886" s="808"/>
      <c r="GI886" s="808"/>
      <c r="GJ886" s="808"/>
      <c r="GK886" s="808"/>
      <c r="GL886" s="808"/>
      <c r="GM886" s="808"/>
      <c r="GN886" s="808"/>
      <c r="GO886" s="808"/>
      <c r="GP886" s="808"/>
      <c r="GQ886" s="808"/>
      <c r="GR886" s="808"/>
      <c r="GS886" s="808"/>
      <c r="GT886" s="808"/>
      <c r="GU886" s="808"/>
      <c r="GV886" s="808"/>
      <c r="GW886" s="808"/>
      <c r="GX886" s="808"/>
      <c r="GY886" s="808"/>
      <c r="GZ886" s="808"/>
      <c r="HA886" s="808"/>
      <c r="HB886" s="808"/>
      <c r="HC886" s="808"/>
      <c r="HD886" s="808"/>
      <c r="HE886" s="808"/>
      <c r="HF886" s="808"/>
      <c r="HG886" s="808"/>
      <c r="HH886" s="808"/>
      <c r="HI886" s="808"/>
      <c r="HJ886" s="808"/>
      <c r="HK886" s="808"/>
      <c r="HL886" s="808"/>
      <c r="HM886" s="808"/>
      <c r="HN886" s="808"/>
      <c r="HO886" s="808"/>
      <c r="HP886" s="808"/>
      <c r="HQ886" s="808"/>
      <c r="HR886" s="808"/>
      <c r="HS886" s="808"/>
      <c r="HT886" s="808"/>
      <c r="HU886" s="808"/>
      <c r="HV886" s="808"/>
      <c r="HW886" s="808"/>
      <c r="HX886" s="808"/>
      <c r="HY886" s="808"/>
      <c r="HZ886" s="808"/>
      <c r="IA886" s="808"/>
      <c r="IB886" s="808"/>
      <c r="IC886" s="808"/>
      <c r="ID886" s="808"/>
      <c r="IE886" s="808"/>
      <c r="IF886" s="808"/>
      <c r="IG886" s="808"/>
      <c r="IH886" s="808"/>
      <c r="II886" s="808"/>
      <c r="IJ886" s="808"/>
      <c r="IK886" s="808"/>
      <c r="IL886" s="808"/>
      <c r="IM886" s="808"/>
      <c r="IN886" s="808"/>
      <c r="IO886" s="808"/>
      <c r="IP886" s="808"/>
      <c r="IQ886" s="808"/>
      <c r="IR886" s="808"/>
      <c r="IS886" s="808"/>
      <c r="IT886" s="808"/>
      <c r="IU886" s="808"/>
      <c r="IV886" s="808"/>
      <c r="IW886" s="808"/>
      <c r="IX886" s="808"/>
      <c r="IY886" s="808"/>
      <c r="IZ886" s="808"/>
      <c r="JA886" s="808"/>
      <c r="JB886" s="808"/>
      <c r="JC886" s="808"/>
      <c r="JD886" s="808"/>
      <c r="JE886" s="808"/>
      <c r="JF886" s="808"/>
      <c r="JG886" s="808"/>
      <c r="JH886" s="808"/>
      <c r="JI886" s="808"/>
      <c r="JJ886" s="808"/>
      <c r="JK886" s="808"/>
      <c r="JL886" s="808"/>
      <c r="JM886" s="808"/>
      <c r="JN886" s="808"/>
      <c r="JO886" s="808"/>
      <c r="JP886" s="808"/>
      <c r="JQ886" s="808"/>
      <c r="JR886" s="808"/>
      <c r="JS886" s="808"/>
      <c r="JT886" s="808"/>
      <c r="JU886" s="808"/>
      <c r="JV886" s="808"/>
      <c r="JW886" s="808"/>
      <c r="JX886" s="808"/>
      <c r="JY886" s="808"/>
      <c r="JZ886" s="808"/>
      <c r="KA886" s="808"/>
      <c r="KB886" s="808"/>
      <c r="KC886" s="808"/>
      <c r="KD886" s="808"/>
      <c r="KE886" s="808"/>
      <c r="KF886" s="808"/>
      <c r="KG886" s="808"/>
      <c r="KH886" s="808"/>
      <c r="KI886" s="808"/>
      <c r="KJ886" s="808"/>
      <c r="KK886" s="808"/>
      <c r="KL886" s="808"/>
      <c r="KM886" s="808"/>
      <c r="KN886" s="808"/>
      <c r="KO886" s="808"/>
      <c r="KP886" s="808"/>
      <c r="KQ886" s="808"/>
      <c r="KR886" s="808"/>
      <c r="KS886" s="808"/>
      <c r="KT886" s="808"/>
      <c r="KU886" s="808"/>
      <c r="KV886" s="808"/>
      <c r="KW886" s="808"/>
      <c r="KX886" s="808"/>
      <c r="KY886" s="808"/>
      <c r="KZ886" s="808"/>
      <c r="LA886" s="808"/>
      <c r="LB886" s="808"/>
      <c r="LC886" s="808"/>
      <c r="LD886" s="808"/>
      <c r="LE886" s="808"/>
      <c r="LF886" s="808"/>
      <c r="LG886" s="808"/>
      <c r="LH886" s="808"/>
      <c r="LI886" s="808"/>
      <c r="LJ886" s="808"/>
      <c r="LK886" s="808"/>
      <c r="LL886" s="808"/>
      <c r="LM886" s="808"/>
      <c r="LN886" s="808"/>
      <c r="LO886" s="808"/>
      <c r="LP886" s="808"/>
      <c r="LQ886" s="808"/>
      <c r="LR886" s="808"/>
      <c r="LS886" s="808"/>
      <c r="LT886" s="808"/>
      <c r="LU886" s="808"/>
      <c r="LV886" s="808"/>
      <c r="LW886" s="808"/>
      <c r="LX886" s="808"/>
      <c r="LY886" s="808"/>
      <c r="LZ886" s="808"/>
      <c r="MA886" s="808"/>
      <c r="MB886" s="808"/>
      <c r="MC886" s="808"/>
      <c r="MD886" s="808"/>
      <c r="ME886" s="808"/>
      <c r="MF886" s="808"/>
      <c r="MG886" s="808"/>
      <c r="MH886" s="808"/>
      <c r="MI886" s="808"/>
      <c r="MJ886" s="808"/>
      <c r="MK886" s="808"/>
      <c r="ML886" s="808"/>
      <c r="MM886" s="808"/>
      <c r="MN886" s="808"/>
      <c r="MO886" s="808"/>
      <c r="MP886" s="808"/>
      <c r="MQ886" s="808"/>
      <c r="MR886" s="808"/>
      <c r="MS886" s="808"/>
      <c r="MT886" s="808"/>
      <c r="MU886" s="808"/>
      <c r="MV886" s="808"/>
      <c r="MW886" s="808"/>
      <c r="MX886" s="808"/>
      <c r="MY886" s="808"/>
      <c r="MZ886" s="808"/>
      <c r="NA886" s="808"/>
      <c r="NB886" s="808"/>
      <c r="NC886" s="808"/>
      <c r="ND886" s="808"/>
      <c r="NE886" s="808"/>
      <c r="NF886" s="808"/>
      <c r="NG886" s="808"/>
      <c r="NH886" s="808"/>
      <c r="NI886" s="808"/>
      <c r="NJ886" s="808"/>
      <c r="NK886" s="808"/>
      <c r="NL886" s="808"/>
      <c r="NM886" s="808"/>
      <c r="NN886" s="808"/>
      <c r="NO886" s="808"/>
      <c r="NP886" s="808"/>
      <c r="NQ886" s="808"/>
      <c r="NR886" s="808"/>
      <c r="NS886" s="808"/>
      <c r="NT886" s="808"/>
      <c r="NU886" s="808"/>
      <c r="NV886" s="808"/>
      <c r="NW886" s="808"/>
      <c r="NX886" s="808"/>
      <c r="NY886" s="808"/>
      <c r="NZ886" s="808"/>
      <c r="OA886" s="808"/>
      <c r="OB886" s="808"/>
      <c r="OC886" s="808"/>
      <c r="OD886" s="808"/>
      <c r="OE886" s="808"/>
      <c r="OF886" s="808"/>
      <c r="OG886" s="808"/>
      <c r="OH886" s="808"/>
      <c r="OI886" s="808"/>
      <c r="OJ886" s="808"/>
      <c r="OK886" s="808"/>
      <c r="OL886" s="808"/>
      <c r="OM886" s="808"/>
      <c r="ON886" s="808"/>
      <c r="OO886" s="808"/>
      <c r="OP886" s="808"/>
      <c r="OQ886" s="808"/>
      <c r="OR886" s="808"/>
      <c r="OS886" s="808"/>
      <c r="OT886" s="808"/>
      <c r="OU886" s="808"/>
      <c r="OV886" s="808"/>
      <c r="OW886" s="808"/>
      <c r="OX886" s="808"/>
      <c r="OY886" s="808"/>
      <c r="OZ886" s="808"/>
      <c r="PA886" s="808"/>
      <c r="PB886" s="808"/>
      <c r="PC886" s="808"/>
      <c r="PD886" s="808"/>
      <c r="PE886" s="808"/>
      <c r="PF886" s="808"/>
      <c r="PG886" s="808"/>
      <c r="PH886" s="808"/>
      <c r="PI886" s="808"/>
      <c r="PJ886" s="808"/>
      <c r="PK886" s="808"/>
      <c r="PL886" s="808"/>
      <c r="PM886" s="808"/>
      <c r="PN886" s="808"/>
      <c r="PO886" s="808"/>
      <c r="PP886" s="808"/>
      <c r="PQ886" s="808"/>
      <c r="PR886" s="808"/>
      <c r="PS886" s="808"/>
      <c r="PT886" s="808"/>
      <c r="PU886" s="808"/>
      <c r="PV886" s="808"/>
      <c r="PW886" s="808"/>
      <c r="PX886" s="808"/>
      <c r="PY886" s="808"/>
      <c r="PZ886" s="808"/>
      <c r="QA886" s="808"/>
      <c r="QB886" s="808"/>
      <c r="QC886" s="808"/>
      <c r="QD886" s="808"/>
      <c r="QE886" s="808"/>
      <c r="QF886" s="808"/>
      <c r="QG886" s="808"/>
      <c r="QH886" s="808"/>
      <c r="QI886" s="808"/>
      <c r="QJ886" s="808"/>
      <c r="QK886" s="808"/>
      <c r="QL886" s="808"/>
      <c r="QM886" s="808"/>
      <c r="QN886" s="808"/>
      <c r="QO886" s="808"/>
      <c r="QP886" s="808"/>
      <c r="QQ886" s="808"/>
      <c r="QR886" s="808"/>
      <c r="QS886" s="808"/>
      <c r="QT886" s="808"/>
      <c r="QU886" s="808"/>
      <c r="QV886" s="808"/>
      <c r="QW886" s="808"/>
      <c r="QX886" s="808"/>
      <c r="QY886" s="808"/>
      <c r="QZ886" s="808"/>
      <c r="RA886" s="808"/>
      <c r="RB886" s="808"/>
      <c r="RC886" s="808"/>
      <c r="RD886" s="808"/>
      <c r="RE886" s="808"/>
      <c r="RF886" s="808"/>
      <c r="RG886" s="808"/>
      <c r="RH886" s="808"/>
      <c r="RI886" s="808"/>
      <c r="RJ886" s="808"/>
      <c r="RK886" s="808"/>
      <c r="RL886" s="808"/>
      <c r="RM886" s="808"/>
      <c r="RN886" s="808"/>
      <c r="RO886" s="808"/>
      <c r="RP886" s="808"/>
      <c r="RQ886" s="808"/>
      <c r="RR886" s="808"/>
      <c r="RS886" s="808"/>
      <c r="RT886" s="808"/>
      <c r="RU886" s="808"/>
      <c r="RV886" s="808"/>
      <c r="RW886" s="808"/>
      <c r="RX886" s="808"/>
      <c r="RY886" s="808"/>
      <c r="RZ886" s="808"/>
      <c r="SA886" s="808"/>
      <c r="SB886" s="808"/>
      <c r="SC886" s="808"/>
      <c r="SD886" s="808"/>
      <c r="SE886" s="808"/>
      <c r="SF886" s="808"/>
      <c r="SG886" s="808"/>
      <c r="SH886" s="808"/>
      <c r="SI886" s="808"/>
      <c r="SJ886" s="808"/>
      <c r="SK886" s="808"/>
      <c r="SL886" s="808"/>
      <c r="SM886" s="808"/>
      <c r="SN886" s="808"/>
      <c r="SO886" s="808"/>
      <c r="SP886" s="808"/>
      <c r="SQ886" s="808"/>
      <c r="SR886" s="808"/>
      <c r="SS886" s="808"/>
      <c r="ST886" s="808"/>
      <c r="SU886" s="808"/>
      <c r="SV886" s="808"/>
      <c r="SW886" s="808"/>
      <c r="SX886" s="808"/>
      <c r="SY886" s="808"/>
      <c r="SZ886" s="808"/>
      <c r="TA886" s="808"/>
      <c r="TB886" s="808"/>
      <c r="TC886" s="808"/>
      <c r="TD886" s="808"/>
      <c r="TE886" s="808"/>
      <c r="TF886" s="808"/>
      <c r="TG886" s="808"/>
      <c r="TH886" s="808"/>
      <c r="TI886" s="808"/>
      <c r="TJ886" s="808"/>
      <c r="TK886" s="808"/>
      <c r="TL886" s="808"/>
      <c r="TM886" s="808"/>
      <c r="TN886" s="808"/>
      <c r="TO886" s="808"/>
      <c r="TP886" s="808"/>
      <c r="TQ886" s="808"/>
      <c r="TR886" s="808"/>
      <c r="TS886" s="808"/>
      <c r="TT886" s="808"/>
      <c r="TU886" s="808"/>
      <c r="TV886" s="808"/>
      <c r="TW886" s="808"/>
      <c r="TX886" s="808"/>
      <c r="TY886" s="808"/>
      <c r="TZ886" s="808"/>
      <c r="UA886" s="808"/>
      <c r="UB886" s="808"/>
      <c r="UC886" s="808"/>
      <c r="UD886" s="808"/>
      <c r="UE886" s="808"/>
      <c r="UF886" s="808"/>
      <c r="UG886" s="808"/>
      <c r="UH886" s="808"/>
      <c r="UI886" s="808"/>
      <c r="UJ886" s="808"/>
      <c r="UK886" s="808"/>
      <c r="UL886" s="808"/>
      <c r="UM886" s="808"/>
      <c r="UN886" s="808"/>
      <c r="UO886" s="808"/>
      <c r="UP886" s="808"/>
      <c r="UQ886" s="808"/>
      <c r="UR886" s="808"/>
      <c r="US886" s="808"/>
      <c r="UT886" s="808"/>
      <c r="UU886" s="808"/>
      <c r="UV886" s="808"/>
      <c r="UW886" s="808"/>
      <c r="UX886" s="808"/>
      <c r="UY886" s="808"/>
      <c r="UZ886" s="808"/>
      <c r="VA886" s="808"/>
      <c r="VB886" s="808"/>
      <c r="VC886" s="808"/>
      <c r="VD886" s="808"/>
      <c r="VE886" s="808"/>
      <c r="VF886" s="808"/>
      <c r="VG886" s="808"/>
      <c r="VH886" s="808"/>
      <c r="VI886" s="808"/>
      <c r="VJ886" s="808"/>
      <c r="VK886" s="808"/>
      <c r="VL886" s="808"/>
      <c r="VM886" s="808"/>
      <c r="VN886" s="808"/>
      <c r="VO886" s="808"/>
      <c r="VP886" s="808"/>
      <c r="VQ886" s="808"/>
      <c r="VR886" s="808"/>
      <c r="VS886" s="808"/>
      <c r="VT886" s="808"/>
      <c r="VU886" s="808"/>
      <c r="VV886" s="808"/>
      <c r="VW886" s="808"/>
      <c r="VX886" s="808"/>
      <c r="VY886" s="808"/>
      <c r="VZ886" s="808"/>
      <c r="WA886" s="808"/>
      <c r="WB886" s="808"/>
      <c r="WC886" s="808"/>
      <c r="WD886" s="808"/>
      <c r="WE886" s="808"/>
      <c r="WF886" s="808"/>
      <c r="WG886" s="808"/>
      <c r="WH886" s="808"/>
      <c r="WI886" s="808"/>
      <c r="WJ886" s="808"/>
      <c r="WK886" s="808"/>
      <c r="WL886" s="808"/>
      <c r="WM886" s="808"/>
      <c r="WN886" s="808"/>
      <c r="WO886" s="808"/>
      <c r="WP886" s="808"/>
      <c r="WQ886" s="808"/>
      <c r="WR886" s="808"/>
      <c r="WS886" s="808"/>
      <c r="WT886" s="808"/>
      <c r="WU886" s="808"/>
      <c r="WV886" s="808"/>
      <c r="WW886" s="808"/>
      <c r="WX886" s="808"/>
      <c r="WY886" s="808"/>
      <c r="WZ886" s="808"/>
      <c r="XA886" s="808"/>
      <c r="XB886" s="808"/>
      <c r="XC886" s="808"/>
      <c r="XD886" s="808"/>
      <c r="XE886" s="808"/>
      <c r="XF886" s="808"/>
      <c r="XG886" s="808"/>
      <c r="XH886" s="808"/>
      <c r="XI886" s="808"/>
      <c r="XJ886" s="808"/>
      <c r="XK886" s="808"/>
      <c r="XL886" s="808"/>
      <c r="XM886" s="808"/>
      <c r="XN886" s="808"/>
      <c r="XO886" s="808"/>
      <c r="XP886" s="808"/>
      <c r="XQ886" s="808"/>
      <c r="XR886" s="808"/>
      <c r="XS886" s="808"/>
      <c r="XT886" s="808"/>
      <c r="XU886" s="808"/>
      <c r="XV886" s="808"/>
      <c r="XW886" s="808"/>
      <c r="XX886" s="808"/>
      <c r="XY886" s="808"/>
      <c r="XZ886" s="808"/>
      <c r="YA886" s="808"/>
      <c r="YB886" s="808"/>
      <c r="YC886" s="808"/>
      <c r="YD886" s="808"/>
      <c r="YE886" s="808"/>
      <c r="YF886" s="808"/>
      <c r="YG886" s="808"/>
      <c r="YH886" s="808"/>
      <c r="YI886" s="808"/>
      <c r="YJ886" s="808"/>
      <c r="YK886" s="808"/>
      <c r="YL886" s="808"/>
      <c r="YM886" s="808"/>
      <c r="YN886" s="808"/>
      <c r="YO886" s="808"/>
      <c r="YP886" s="808"/>
      <c r="YQ886" s="808"/>
      <c r="YR886" s="808"/>
      <c r="YS886" s="808"/>
      <c r="YT886" s="808"/>
      <c r="YU886" s="808"/>
      <c r="YV886" s="808"/>
      <c r="YW886" s="808"/>
      <c r="YX886" s="808"/>
      <c r="YY886" s="808"/>
      <c r="YZ886" s="808"/>
      <c r="ZA886" s="808"/>
      <c r="ZB886" s="808"/>
      <c r="ZC886" s="808"/>
      <c r="ZD886" s="808"/>
      <c r="ZE886" s="808"/>
      <c r="ZF886" s="808"/>
      <c r="ZG886" s="808"/>
      <c r="ZH886" s="808"/>
      <c r="ZI886" s="808"/>
      <c r="ZJ886" s="808"/>
      <c r="ZK886" s="808"/>
      <c r="ZL886" s="808"/>
      <c r="ZM886" s="808"/>
      <c r="ZN886" s="808"/>
      <c r="ZO886" s="808"/>
      <c r="ZP886" s="808"/>
      <c r="ZQ886" s="808"/>
      <c r="ZR886" s="808"/>
      <c r="ZS886" s="808"/>
      <c r="ZT886" s="808"/>
      <c r="ZU886" s="808"/>
      <c r="ZV886" s="808"/>
      <c r="ZW886" s="808"/>
      <c r="ZX886" s="808"/>
      <c r="ZY886" s="808"/>
      <c r="ZZ886" s="808"/>
      <c r="AAA886" s="808"/>
      <c r="AAB886" s="808"/>
      <c r="AAC886" s="808"/>
      <c r="AAD886" s="808"/>
      <c r="AAE886" s="808"/>
      <c r="AAF886" s="808"/>
      <c r="AAG886" s="808"/>
      <c r="AAH886" s="808"/>
      <c r="AAI886" s="808"/>
      <c r="AAJ886" s="808"/>
      <c r="AAK886" s="808"/>
      <c r="AAL886" s="808"/>
      <c r="AAM886" s="808"/>
      <c r="AAN886" s="808"/>
      <c r="AAO886" s="808"/>
      <c r="AAP886" s="808"/>
      <c r="AAQ886" s="808"/>
      <c r="AAR886" s="808"/>
      <c r="AAS886" s="808"/>
      <c r="AAT886" s="808"/>
      <c r="AAU886" s="808"/>
      <c r="AAV886" s="808"/>
      <c r="AAW886" s="808"/>
      <c r="AAX886" s="808"/>
      <c r="AAY886" s="808"/>
      <c r="AAZ886" s="808"/>
      <c r="ABA886" s="808"/>
      <c r="ABB886" s="808"/>
      <c r="ABC886" s="808"/>
      <c r="ABD886" s="808"/>
      <c r="ABE886" s="808"/>
      <c r="ABF886" s="808"/>
      <c r="ABG886" s="808"/>
      <c r="ABH886" s="808"/>
      <c r="ABI886" s="808"/>
      <c r="ABJ886" s="808"/>
      <c r="ABK886" s="808"/>
      <c r="ABL886" s="808"/>
      <c r="ABM886" s="808"/>
      <c r="ABN886" s="808"/>
      <c r="ABO886" s="808"/>
      <c r="ABP886" s="808"/>
      <c r="ABQ886" s="808"/>
      <c r="ABR886" s="808"/>
      <c r="ABS886" s="808"/>
      <c r="ABT886" s="808"/>
      <c r="ABU886" s="808"/>
      <c r="ABV886" s="808"/>
      <c r="ABW886" s="808"/>
      <c r="ABX886" s="808"/>
      <c r="ABY886" s="808"/>
      <c r="ABZ886" s="808"/>
      <c r="ACA886" s="808"/>
      <c r="ACB886" s="808"/>
      <c r="ACC886" s="808"/>
      <c r="ACD886" s="808"/>
      <c r="ACE886" s="808"/>
      <c r="ACF886" s="808"/>
      <c r="ACG886" s="808"/>
      <c r="ACH886" s="808"/>
      <c r="ACI886" s="808"/>
      <c r="ACJ886" s="808"/>
      <c r="ACK886" s="808"/>
      <c r="ACL886" s="808"/>
      <c r="ACM886" s="808"/>
      <c r="ACN886" s="808"/>
      <c r="ACO886" s="808"/>
      <c r="ACP886" s="808"/>
      <c r="ACQ886" s="808"/>
      <c r="ACR886" s="808"/>
      <c r="ACS886" s="808"/>
      <c r="ACT886" s="808"/>
      <c r="ACU886" s="808"/>
      <c r="ACV886" s="808"/>
      <c r="ACW886" s="808"/>
      <c r="ACX886" s="808"/>
      <c r="ACY886" s="808"/>
      <c r="ACZ886" s="808"/>
      <c r="ADA886" s="808"/>
      <c r="ADB886" s="808"/>
      <c r="ADC886" s="808"/>
      <c r="ADD886" s="808"/>
      <c r="ADE886" s="808"/>
      <c r="ADF886" s="808"/>
      <c r="ADG886" s="808"/>
      <c r="ADH886" s="808"/>
      <c r="ADI886" s="808"/>
      <c r="ADJ886" s="808"/>
      <c r="ADK886" s="808"/>
      <c r="ADL886" s="808"/>
      <c r="ADM886" s="808"/>
      <c r="ADN886" s="808"/>
      <c r="ADO886" s="808"/>
      <c r="ADP886" s="808"/>
      <c r="ADQ886" s="808"/>
      <c r="ADR886" s="808"/>
      <c r="ADS886" s="808"/>
      <c r="ADT886" s="808"/>
      <c r="ADU886" s="808"/>
      <c r="ADV886" s="808"/>
      <c r="ADW886" s="808"/>
      <c r="ADX886" s="808"/>
      <c r="ADY886" s="808"/>
      <c r="ADZ886" s="808"/>
      <c r="AEA886" s="808"/>
      <c r="AEB886" s="808"/>
      <c r="AEC886" s="808"/>
      <c r="AED886" s="808"/>
      <c r="AEE886" s="808"/>
      <c r="AEF886" s="808"/>
      <c r="AEG886" s="808"/>
      <c r="AEH886" s="808"/>
      <c r="AEI886" s="808"/>
      <c r="AEJ886" s="808"/>
      <c r="AEK886" s="808"/>
      <c r="AEL886" s="808"/>
      <c r="AEM886" s="808"/>
      <c r="AEN886" s="808"/>
      <c r="AEO886" s="808"/>
      <c r="AEP886" s="808"/>
      <c r="AEQ886" s="808"/>
      <c r="AER886" s="808"/>
      <c r="AES886" s="808"/>
      <c r="AET886" s="808"/>
      <c r="AEU886" s="808"/>
      <c r="AEV886" s="808"/>
      <c r="AEW886" s="808"/>
      <c r="AEX886" s="808"/>
      <c r="AEY886" s="808"/>
      <c r="AEZ886" s="808"/>
      <c r="AFA886" s="808"/>
      <c r="AFB886" s="808"/>
      <c r="AFC886" s="808"/>
      <c r="AFD886" s="808"/>
      <c r="AFE886" s="808"/>
      <c r="AFF886" s="808"/>
      <c r="AFG886" s="808"/>
      <c r="AFH886" s="808"/>
      <c r="AFI886" s="808"/>
      <c r="AFJ886" s="808"/>
      <c r="AFK886" s="808"/>
      <c r="AFL886" s="808"/>
      <c r="AFM886" s="808"/>
      <c r="AFN886" s="808"/>
      <c r="AFO886" s="808"/>
      <c r="AFP886" s="808"/>
      <c r="AFQ886" s="808"/>
      <c r="AFR886" s="808"/>
      <c r="AFS886" s="808"/>
      <c r="AFT886" s="808"/>
      <c r="AFU886" s="808"/>
      <c r="AFV886" s="808"/>
      <c r="AFW886" s="808"/>
      <c r="AFX886" s="808"/>
      <c r="AFY886" s="808"/>
      <c r="AFZ886" s="808"/>
      <c r="AGA886" s="808"/>
      <c r="AGB886" s="808"/>
      <c r="AGC886" s="808"/>
      <c r="AGD886" s="808"/>
      <c r="AGE886" s="808"/>
      <c r="AGF886" s="808"/>
      <c r="AGG886" s="808"/>
      <c r="AGH886" s="808"/>
      <c r="AGI886" s="808"/>
      <c r="AGJ886" s="808"/>
    </row>
    <row r="887" spans="1:868" s="7" customFormat="1" hidden="1">
      <c r="A887" s="609" t="s">
        <v>118</v>
      </c>
      <c r="B887" s="59" t="s">
        <v>439</v>
      </c>
      <c r="C887" s="40" t="s">
        <v>139</v>
      </c>
      <c r="D887" s="34" t="s">
        <v>99</v>
      </c>
      <c r="E887" s="859">
        <v>5.4672938670453558E-2</v>
      </c>
      <c r="F887" s="34">
        <v>2</v>
      </c>
      <c r="G887" s="40" t="s">
        <v>429</v>
      </c>
      <c r="H887" s="29">
        <v>1</v>
      </c>
      <c r="I887" s="9">
        <v>2</v>
      </c>
      <c r="J887" s="9">
        <v>2</v>
      </c>
      <c r="K887" s="9">
        <v>1</v>
      </c>
      <c r="L887" s="9">
        <v>1</v>
      </c>
      <c r="M887" s="9">
        <v>2</v>
      </c>
      <c r="N887" s="185">
        <f t="shared" si="66"/>
        <v>0.35859414261160716</v>
      </c>
      <c r="O887" s="159">
        <f t="shared" si="65"/>
        <v>0.37356464144298934</v>
      </c>
      <c r="P887" s="63"/>
      <c r="Q887" s="808"/>
      <c r="R887" s="808"/>
      <c r="S887" s="808"/>
      <c r="T887" s="808"/>
      <c r="U887" s="808"/>
      <c r="V887" s="808"/>
      <c r="W887" s="808"/>
      <c r="X887" s="808"/>
      <c r="Y887" s="808"/>
      <c r="Z887" s="808"/>
      <c r="AA887" s="808"/>
      <c r="AB887" s="808"/>
      <c r="AC887" s="808"/>
      <c r="AD887" s="808"/>
      <c r="AE887" s="808"/>
      <c r="AF887" s="808"/>
      <c r="AG887" s="808"/>
      <c r="AH887" s="808"/>
      <c r="AI887" s="808"/>
      <c r="AJ887" s="808"/>
      <c r="AK887" s="808"/>
      <c r="AL887" s="808"/>
      <c r="AM887" s="808"/>
      <c r="AN887" s="808"/>
      <c r="AO887" s="808"/>
      <c r="AP887" s="808"/>
      <c r="AQ887" s="808"/>
      <c r="AR887" s="808"/>
      <c r="AS887" s="808"/>
      <c r="AT887" s="808"/>
      <c r="AU887" s="808"/>
      <c r="AV887" s="808"/>
      <c r="AW887" s="808"/>
      <c r="AX887" s="808"/>
      <c r="AY887" s="808"/>
      <c r="AZ887" s="808"/>
      <c r="BA887" s="808"/>
      <c r="BB887" s="808"/>
      <c r="BC887" s="808"/>
      <c r="BD887" s="808"/>
      <c r="BE887" s="808"/>
      <c r="BF887" s="808"/>
      <c r="BG887" s="808"/>
      <c r="BH887" s="808"/>
      <c r="BI887" s="808"/>
      <c r="BJ887" s="808"/>
      <c r="BK887" s="808"/>
      <c r="BL887" s="808"/>
      <c r="BM887" s="808"/>
      <c r="BN887" s="808"/>
      <c r="BO887" s="808"/>
      <c r="BP887" s="808"/>
      <c r="BQ887" s="808"/>
      <c r="BR887" s="808"/>
      <c r="BS887" s="808"/>
      <c r="BT887" s="808"/>
      <c r="BU887" s="808"/>
      <c r="BV887" s="808"/>
      <c r="BW887" s="808"/>
      <c r="BX887" s="808"/>
      <c r="BY887" s="808"/>
      <c r="BZ887" s="808"/>
      <c r="CA887" s="808"/>
      <c r="CB887" s="808"/>
      <c r="CC887" s="808"/>
      <c r="CD887" s="808"/>
      <c r="CE887" s="808"/>
      <c r="CF887" s="808"/>
      <c r="CG887" s="808"/>
      <c r="CH887" s="808"/>
      <c r="CI887" s="808"/>
      <c r="CJ887" s="808"/>
      <c r="CK887" s="808"/>
      <c r="CL887" s="808"/>
      <c r="CM887" s="808"/>
      <c r="CN887" s="808"/>
      <c r="CO887" s="808"/>
      <c r="CP887" s="808"/>
      <c r="CQ887" s="808"/>
      <c r="CR887" s="808"/>
      <c r="CS887" s="808"/>
      <c r="CT887" s="808"/>
      <c r="CU887" s="808"/>
      <c r="CV887" s="808"/>
      <c r="CW887" s="808"/>
      <c r="CX887" s="808"/>
      <c r="CY887" s="808"/>
      <c r="CZ887" s="808"/>
      <c r="DA887" s="808"/>
      <c r="DB887" s="808"/>
      <c r="DC887" s="808"/>
      <c r="DD887" s="808"/>
      <c r="DE887" s="808"/>
      <c r="DF887" s="808"/>
      <c r="DG887" s="808"/>
      <c r="DH887" s="808"/>
      <c r="DI887" s="808"/>
      <c r="DJ887" s="808"/>
      <c r="DK887" s="808"/>
      <c r="DL887" s="808"/>
      <c r="DM887" s="808"/>
      <c r="DN887" s="808"/>
      <c r="DO887" s="808"/>
      <c r="DP887" s="808"/>
      <c r="DQ887" s="808"/>
      <c r="DR887" s="808"/>
      <c r="DS887" s="808"/>
      <c r="DT887" s="808"/>
      <c r="DU887" s="808"/>
      <c r="DV887" s="808"/>
      <c r="DW887" s="808"/>
      <c r="DX887" s="808"/>
      <c r="DY887" s="808"/>
      <c r="DZ887" s="808"/>
      <c r="EA887" s="808"/>
      <c r="EB887" s="808"/>
      <c r="EC887" s="808"/>
      <c r="ED887" s="808"/>
      <c r="EE887" s="808"/>
      <c r="EF887" s="808"/>
      <c r="EG887" s="808"/>
      <c r="EH887" s="808"/>
      <c r="EI887" s="808"/>
      <c r="EJ887" s="808"/>
      <c r="EK887" s="808"/>
      <c r="EL887" s="808"/>
      <c r="EM887" s="808"/>
      <c r="EN887" s="808"/>
      <c r="EO887" s="808"/>
      <c r="EP887" s="808"/>
      <c r="EQ887" s="808"/>
      <c r="ER887" s="808"/>
      <c r="ES887" s="808"/>
      <c r="ET887" s="808"/>
      <c r="EU887" s="808"/>
      <c r="EV887" s="808"/>
      <c r="EW887" s="808"/>
      <c r="EX887" s="808"/>
      <c r="EY887" s="808"/>
      <c r="EZ887" s="808"/>
      <c r="FA887" s="808"/>
      <c r="FB887" s="808"/>
      <c r="FC887" s="808"/>
      <c r="FD887" s="808"/>
      <c r="FE887" s="808"/>
      <c r="FF887" s="808"/>
      <c r="FG887" s="808"/>
      <c r="FH887" s="808"/>
      <c r="FI887" s="808"/>
      <c r="FJ887" s="808"/>
      <c r="FK887" s="808"/>
      <c r="FL887" s="808"/>
      <c r="FM887" s="808"/>
      <c r="FN887" s="808"/>
      <c r="FO887" s="808"/>
      <c r="FP887" s="808"/>
      <c r="FQ887" s="808"/>
      <c r="FR887" s="808"/>
      <c r="FS887" s="808"/>
      <c r="FT887" s="808"/>
      <c r="FU887" s="808"/>
      <c r="FV887" s="808"/>
      <c r="FW887" s="808"/>
      <c r="FX887" s="808"/>
      <c r="FY887" s="808"/>
      <c r="FZ887" s="808"/>
      <c r="GA887" s="808"/>
      <c r="GB887" s="808"/>
      <c r="GC887" s="808"/>
      <c r="GD887" s="808"/>
      <c r="GE887" s="808"/>
      <c r="GF887" s="808"/>
      <c r="GG887" s="808"/>
      <c r="GH887" s="808"/>
      <c r="GI887" s="808"/>
      <c r="GJ887" s="808"/>
      <c r="GK887" s="808"/>
      <c r="GL887" s="808"/>
      <c r="GM887" s="808"/>
      <c r="GN887" s="808"/>
      <c r="GO887" s="808"/>
      <c r="GP887" s="808"/>
      <c r="GQ887" s="808"/>
      <c r="GR887" s="808"/>
      <c r="GS887" s="808"/>
      <c r="GT887" s="808"/>
      <c r="GU887" s="808"/>
      <c r="GV887" s="808"/>
      <c r="GW887" s="808"/>
      <c r="GX887" s="808"/>
      <c r="GY887" s="808"/>
      <c r="GZ887" s="808"/>
      <c r="HA887" s="808"/>
      <c r="HB887" s="808"/>
      <c r="HC887" s="808"/>
      <c r="HD887" s="808"/>
      <c r="HE887" s="808"/>
      <c r="HF887" s="808"/>
      <c r="HG887" s="808"/>
      <c r="HH887" s="808"/>
      <c r="HI887" s="808"/>
      <c r="HJ887" s="808"/>
      <c r="HK887" s="808"/>
      <c r="HL887" s="808"/>
      <c r="HM887" s="808"/>
      <c r="HN887" s="808"/>
      <c r="HO887" s="808"/>
      <c r="HP887" s="808"/>
      <c r="HQ887" s="808"/>
      <c r="HR887" s="808"/>
      <c r="HS887" s="808"/>
      <c r="HT887" s="808"/>
      <c r="HU887" s="808"/>
      <c r="HV887" s="808"/>
      <c r="HW887" s="808"/>
      <c r="HX887" s="808"/>
      <c r="HY887" s="808"/>
      <c r="HZ887" s="808"/>
      <c r="IA887" s="808"/>
      <c r="IB887" s="808"/>
      <c r="IC887" s="808"/>
      <c r="ID887" s="808"/>
      <c r="IE887" s="808"/>
      <c r="IF887" s="808"/>
      <c r="IG887" s="808"/>
      <c r="IH887" s="808"/>
      <c r="II887" s="808"/>
      <c r="IJ887" s="808"/>
      <c r="IK887" s="808"/>
      <c r="IL887" s="808"/>
      <c r="IM887" s="808"/>
      <c r="IN887" s="808"/>
      <c r="IO887" s="808"/>
      <c r="IP887" s="808"/>
      <c r="IQ887" s="808"/>
      <c r="IR887" s="808"/>
      <c r="IS887" s="808"/>
      <c r="IT887" s="808"/>
      <c r="IU887" s="808"/>
      <c r="IV887" s="808"/>
      <c r="IW887" s="808"/>
      <c r="IX887" s="808"/>
      <c r="IY887" s="808"/>
      <c r="IZ887" s="808"/>
      <c r="JA887" s="808"/>
      <c r="JB887" s="808"/>
      <c r="JC887" s="808"/>
      <c r="JD887" s="808"/>
      <c r="JE887" s="808"/>
      <c r="JF887" s="808"/>
      <c r="JG887" s="808"/>
      <c r="JH887" s="808"/>
      <c r="JI887" s="808"/>
      <c r="JJ887" s="808"/>
      <c r="JK887" s="808"/>
      <c r="JL887" s="808"/>
      <c r="JM887" s="808"/>
      <c r="JN887" s="808"/>
      <c r="JO887" s="808"/>
      <c r="JP887" s="808"/>
      <c r="JQ887" s="808"/>
      <c r="JR887" s="808"/>
      <c r="JS887" s="808"/>
      <c r="JT887" s="808"/>
      <c r="JU887" s="808"/>
      <c r="JV887" s="808"/>
      <c r="JW887" s="808"/>
      <c r="JX887" s="808"/>
      <c r="JY887" s="808"/>
      <c r="JZ887" s="808"/>
      <c r="KA887" s="808"/>
      <c r="KB887" s="808"/>
      <c r="KC887" s="808"/>
      <c r="KD887" s="808"/>
      <c r="KE887" s="808"/>
      <c r="KF887" s="808"/>
      <c r="KG887" s="808"/>
      <c r="KH887" s="808"/>
      <c r="KI887" s="808"/>
      <c r="KJ887" s="808"/>
      <c r="KK887" s="808"/>
      <c r="KL887" s="808"/>
      <c r="KM887" s="808"/>
      <c r="KN887" s="808"/>
      <c r="KO887" s="808"/>
      <c r="KP887" s="808"/>
      <c r="KQ887" s="808"/>
      <c r="KR887" s="808"/>
      <c r="KS887" s="808"/>
      <c r="KT887" s="808"/>
      <c r="KU887" s="808"/>
      <c r="KV887" s="808"/>
      <c r="KW887" s="808"/>
      <c r="KX887" s="808"/>
      <c r="KY887" s="808"/>
      <c r="KZ887" s="808"/>
      <c r="LA887" s="808"/>
      <c r="LB887" s="808"/>
      <c r="LC887" s="808"/>
      <c r="LD887" s="808"/>
      <c r="LE887" s="808"/>
      <c r="LF887" s="808"/>
      <c r="LG887" s="808"/>
      <c r="LH887" s="808"/>
      <c r="LI887" s="808"/>
      <c r="LJ887" s="808"/>
      <c r="LK887" s="808"/>
      <c r="LL887" s="808"/>
      <c r="LM887" s="808"/>
      <c r="LN887" s="808"/>
      <c r="LO887" s="808"/>
      <c r="LP887" s="808"/>
      <c r="LQ887" s="808"/>
      <c r="LR887" s="808"/>
      <c r="LS887" s="808"/>
      <c r="LT887" s="808"/>
      <c r="LU887" s="808"/>
      <c r="LV887" s="808"/>
      <c r="LW887" s="808"/>
      <c r="LX887" s="808"/>
      <c r="LY887" s="808"/>
      <c r="LZ887" s="808"/>
      <c r="MA887" s="808"/>
      <c r="MB887" s="808"/>
      <c r="MC887" s="808"/>
      <c r="MD887" s="808"/>
      <c r="ME887" s="808"/>
      <c r="MF887" s="808"/>
      <c r="MG887" s="808"/>
      <c r="MH887" s="808"/>
      <c r="MI887" s="808"/>
      <c r="MJ887" s="808"/>
      <c r="MK887" s="808"/>
      <c r="ML887" s="808"/>
      <c r="MM887" s="808"/>
      <c r="MN887" s="808"/>
      <c r="MO887" s="808"/>
      <c r="MP887" s="808"/>
      <c r="MQ887" s="808"/>
      <c r="MR887" s="808"/>
      <c r="MS887" s="808"/>
      <c r="MT887" s="808"/>
      <c r="MU887" s="808"/>
      <c r="MV887" s="808"/>
      <c r="MW887" s="808"/>
      <c r="MX887" s="808"/>
      <c r="MY887" s="808"/>
      <c r="MZ887" s="808"/>
      <c r="NA887" s="808"/>
      <c r="NB887" s="808"/>
      <c r="NC887" s="808"/>
      <c r="ND887" s="808"/>
      <c r="NE887" s="808"/>
      <c r="NF887" s="808"/>
      <c r="NG887" s="808"/>
      <c r="NH887" s="808"/>
      <c r="NI887" s="808"/>
      <c r="NJ887" s="808"/>
      <c r="NK887" s="808"/>
      <c r="NL887" s="808"/>
      <c r="NM887" s="808"/>
      <c r="NN887" s="808"/>
      <c r="NO887" s="808"/>
      <c r="NP887" s="808"/>
      <c r="NQ887" s="808"/>
      <c r="NR887" s="808"/>
      <c r="NS887" s="808"/>
      <c r="NT887" s="808"/>
      <c r="NU887" s="808"/>
      <c r="NV887" s="808"/>
      <c r="NW887" s="808"/>
      <c r="NX887" s="808"/>
      <c r="NY887" s="808"/>
      <c r="NZ887" s="808"/>
      <c r="OA887" s="808"/>
      <c r="OB887" s="808"/>
      <c r="OC887" s="808"/>
      <c r="OD887" s="808"/>
      <c r="OE887" s="808"/>
      <c r="OF887" s="808"/>
      <c r="OG887" s="808"/>
      <c r="OH887" s="808"/>
      <c r="OI887" s="808"/>
      <c r="OJ887" s="808"/>
      <c r="OK887" s="808"/>
      <c r="OL887" s="808"/>
      <c r="OM887" s="808"/>
      <c r="ON887" s="808"/>
      <c r="OO887" s="808"/>
      <c r="OP887" s="808"/>
      <c r="OQ887" s="808"/>
      <c r="OR887" s="808"/>
      <c r="OS887" s="808"/>
      <c r="OT887" s="808"/>
      <c r="OU887" s="808"/>
      <c r="OV887" s="808"/>
      <c r="OW887" s="808"/>
      <c r="OX887" s="808"/>
      <c r="OY887" s="808"/>
      <c r="OZ887" s="808"/>
      <c r="PA887" s="808"/>
      <c r="PB887" s="808"/>
      <c r="PC887" s="808"/>
      <c r="PD887" s="808"/>
      <c r="PE887" s="808"/>
      <c r="PF887" s="808"/>
      <c r="PG887" s="808"/>
      <c r="PH887" s="808"/>
      <c r="PI887" s="808"/>
      <c r="PJ887" s="808"/>
      <c r="PK887" s="808"/>
      <c r="PL887" s="808"/>
      <c r="PM887" s="808"/>
      <c r="PN887" s="808"/>
      <c r="PO887" s="808"/>
      <c r="PP887" s="808"/>
      <c r="PQ887" s="808"/>
      <c r="PR887" s="808"/>
      <c r="PS887" s="808"/>
      <c r="PT887" s="808"/>
      <c r="PU887" s="808"/>
      <c r="PV887" s="808"/>
      <c r="PW887" s="808"/>
      <c r="PX887" s="808"/>
      <c r="PY887" s="808"/>
      <c r="PZ887" s="808"/>
      <c r="QA887" s="808"/>
      <c r="QB887" s="808"/>
      <c r="QC887" s="808"/>
      <c r="QD887" s="808"/>
      <c r="QE887" s="808"/>
      <c r="QF887" s="808"/>
      <c r="QG887" s="808"/>
      <c r="QH887" s="808"/>
      <c r="QI887" s="808"/>
      <c r="QJ887" s="808"/>
      <c r="QK887" s="808"/>
      <c r="QL887" s="808"/>
      <c r="QM887" s="808"/>
      <c r="QN887" s="808"/>
      <c r="QO887" s="808"/>
      <c r="QP887" s="808"/>
      <c r="QQ887" s="808"/>
      <c r="QR887" s="808"/>
      <c r="QS887" s="808"/>
      <c r="QT887" s="808"/>
      <c r="QU887" s="808"/>
      <c r="QV887" s="808"/>
      <c r="QW887" s="808"/>
      <c r="QX887" s="808"/>
      <c r="QY887" s="808"/>
      <c r="QZ887" s="808"/>
      <c r="RA887" s="808"/>
      <c r="RB887" s="808"/>
      <c r="RC887" s="808"/>
      <c r="RD887" s="808"/>
      <c r="RE887" s="808"/>
      <c r="RF887" s="808"/>
      <c r="RG887" s="808"/>
      <c r="RH887" s="808"/>
      <c r="RI887" s="808"/>
      <c r="RJ887" s="808"/>
      <c r="RK887" s="808"/>
      <c r="RL887" s="808"/>
      <c r="RM887" s="808"/>
      <c r="RN887" s="808"/>
      <c r="RO887" s="808"/>
      <c r="RP887" s="808"/>
      <c r="RQ887" s="808"/>
      <c r="RR887" s="808"/>
      <c r="RS887" s="808"/>
      <c r="RT887" s="808"/>
      <c r="RU887" s="808"/>
      <c r="RV887" s="808"/>
      <c r="RW887" s="808"/>
      <c r="RX887" s="808"/>
      <c r="RY887" s="808"/>
      <c r="RZ887" s="808"/>
      <c r="SA887" s="808"/>
      <c r="SB887" s="808"/>
      <c r="SC887" s="808"/>
      <c r="SD887" s="808"/>
      <c r="SE887" s="808"/>
      <c r="SF887" s="808"/>
      <c r="SG887" s="808"/>
      <c r="SH887" s="808"/>
      <c r="SI887" s="808"/>
      <c r="SJ887" s="808"/>
      <c r="SK887" s="808"/>
      <c r="SL887" s="808"/>
      <c r="SM887" s="808"/>
      <c r="SN887" s="808"/>
      <c r="SO887" s="808"/>
      <c r="SP887" s="808"/>
      <c r="SQ887" s="808"/>
      <c r="SR887" s="808"/>
      <c r="SS887" s="808"/>
      <c r="ST887" s="808"/>
      <c r="SU887" s="808"/>
      <c r="SV887" s="808"/>
      <c r="SW887" s="808"/>
      <c r="SX887" s="808"/>
      <c r="SY887" s="808"/>
      <c r="SZ887" s="808"/>
      <c r="TA887" s="808"/>
      <c r="TB887" s="808"/>
      <c r="TC887" s="808"/>
      <c r="TD887" s="808"/>
      <c r="TE887" s="808"/>
      <c r="TF887" s="808"/>
      <c r="TG887" s="808"/>
      <c r="TH887" s="808"/>
      <c r="TI887" s="808"/>
      <c r="TJ887" s="808"/>
      <c r="TK887" s="808"/>
      <c r="TL887" s="808"/>
      <c r="TM887" s="808"/>
      <c r="TN887" s="808"/>
      <c r="TO887" s="808"/>
      <c r="TP887" s="808"/>
      <c r="TQ887" s="808"/>
      <c r="TR887" s="808"/>
      <c r="TS887" s="808"/>
      <c r="TT887" s="808"/>
      <c r="TU887" s="808"/>
      <c r="TV887" s="808"/>
      <c r="TW887" s="808"/>
      <c r="TX887" s="808"/>
      <c r="TY887" s="808"/>
      <c r="TZ887" s="808"/>
      <c r="UA887" s="808"/>
      <c r="UB887" s="808"/>
      <c r="UC887" s="808"/>
      <c r="UD887" s="808"/>
      <c r="UE887" s="808"/>
      <c r="UF887" s="808"/>
      <c r="UG887" s="808"/>
      <c r="UH887" s="808"/>
      <c r="UI887" s="808"/>
      <c r="UJ887" s="808"/>
      <c r="UK887" s="808"/>
      <c r="UL887" s="808"/>
      <c r="UM887" s="808"/>
      <c r="UN887" s="808"/>
      <c r="UO887" s="808"/>
      <c r="UP887" s="808"/>
      <c r="UQ887" s="808"/>
      <c r="UR887" s="808"/>
      <c r="US887" s="808"/>
      <c r="UT887" s="808"/>
      <c r="UU887" s="808"/>
      <c r="UV887" s="808"/>
      <c r="UW887" s="808"/>
      <c r="UX887" s="808"/>
      <c r="UY887" s="808"/>
      <c r="UZ887" s="808"/>
      <c r="VA887" s="808"/>
      <c r="VB887" s="808"/>
      <c r="VC887" s="808"/>
      <c r="VD887" s="808"/>
      <c r="VE887" s="808"/>
      <c r="VF887" s="808"/>
      <c r="VG887" s="808"/>
      <c r="VH887" s="808"/>
      <c r="VI887" s="808"/>
      <c r="VJ887" s="808"/>
      <c r="VK887" s="808"/>
      <c r="VL887" s="808"/>
      <c r="VM887" s="808"/>
      <c r="VN887" s="808"/>
      <c r="VO887" s="808"/>
      <c r="VP887" s="808"/>
      <c r="VQ887" s="808"/>
      <c r="VR887" s="808"/>
      <c r="VS887" s="808"/>
      <c r="VT887" s="808"/>
      <c r="VU887" s="808"/>
      <c r="VV887" s="808"/>
      <c r="VW887" s="808"/>
      <c r="VX887" s="808"/>
      <c r="VY887" s="808"/>
      <c r="VZ887" s="808"/>
      <c r="WA887" s="808"/>
      <c r="WB887" s="808"/>
      <c r="WC887" s="808"/>
      <c r="WD887" s="808"/>
      <c r="WE887" s="808"/>
      <c r="WF887" s="808"/>
      <c r="WG887" s="808"/>
      <c r="WH887" s="808"/>
      <c r="WI887" s="808"/>
      <c r="WJ887" s="808"/>
      <c r="WK887" s="808"/>
      <c r="WL887" s="808"/>
      <c r="WM887" s="808"/>
      <c r="WN887" s="808"/>
      <c r="WO887" s="808"/>
      <c r="WP887" s="808"/>
      <c r="WQ887" s="808"/>
      <c r="WR887" s="808"/>
      <c r="WS887" s="808"/>
      <c r="WT887" s="808"/>
      <c r="WU887" s="808"/>
      <c r="WV887" s="808"/>
      <c r="WW887" s="808"/>
      <c r="WX887" s="808"/>
      <c r="WY887" s="808"/>
      <c r="WZ887" s="808"/>
      <c r="XA887" s="808"/>
      <c r="XB887" s="808"/>
      <c r="XC887" s="808"/>
      <c r="XD887" s="808"/>
      <c r="XE887" s="808"/>
      <c r="XF887" s="808"/>
      <c r="XG887" s="808"/>
      <c r="XH887" s="808"/>
      <c r="XI887" s="808"/>
      <c r="XJ887" s="808"/>
      <c r="XK887" s="808"/>
      <c r="XL887" s="808"/>
      <c r="XM887" s="808"/>
      <c r="XN887" s="808"/>
      <c r="XO887" s="808"/>
      <c r="XP887" s="808"/>
      <c r="XQ887" s="808"/>
      <c r="XR887" s="808"/>
      <c r="XS887" s="808"/>
      <c r="XT887" s="808"/>
      <c r="XU887" s="808"/>
      <c r="XV887" s="808"/>
      <c r="XW887" s="808"/>
      <c r="XX887" s="808"/>
      <c r="XY887" s="808"/>
      <c r="XZ887" s="808"/>
      <c r="YA887" s="808"/>
      <c r="YB887" s="808"/>
      <c r="YC887" s="808"/>
      <c r="YD887" s="808"/>
      <c r="YE887" s="808"/>
      <c r="YF887" s="808"/>
      <c r="YG887" s="808"/>
      <c r="YH887" s="808"/>
      <c r="YI887" s="808"/>
      <c r="YJ887" s="808"/>
      <c r="YK887" s="808"/>
      <c r="YL887" s="808"/>
      <c r="YM887" s="808"/>
      <c r="YN887" s="808"/>
      <c r="YO887" s="808"/>
      <c r="YP887" s="808"/>
      <c r="YQ887" s="808"/>
      <c r="YR887" s="808"/>
      <c r="YS887" s="808"/>
      <c r="YT887" s="808"/>
      <c r="YU887" s="808"/>
      <c r="YV887" s="808"/>
      <c r="YW887" s="808"/>
      <c r="YX887" s="808"/>
      <c r="YY887" s="808"/>
      <c r="YZ887" s="808"/>
      <c r="ZA887" s="808"/>
      <c r="ZB887" s="808"/>
      <c r="ZC887" s="808"/>
      <c r="ZD887" s="808"/>
      <c r="ZE887" s="808"/>
      <c r="ZF887" s="808"/>
      <c r="ZG887" s="808"/>
      <c r="ZH887" s="808"/>
      <c r="ZI887" s="808"/>
      <c r="ZJ887" s="808"/>
      <c r="ZK887" s="808"/>
      <c r="ZL887" s="808"/>
      <c r="ZM887" s="808"/>
      <c r="ZN887" s="808"/>
      <c r="ZO887" s="808"/>
      <c r="ZP887" s="808"/>
      <c r="ZQ887" s="808"/>
      <c r="ZR887" s="808"/>
      <c r="ZS887" s="808"/>
      <c r="ZT887" s="808"/>
      <c r="ZU887" s="808"/>
      <c r="ZV887" s="808"/>
      <c r="ZW887" s="808"/>
      <c r="ZX887" s="808"/>
      <c r="ZY887" s="808"/>
      <c r="ZZ887" s="808"/>
      <c r="AAA887" s="808"/>
      <c r="AAB887" s="808"/>
      <c r="AAC887" s="808"/>
      <c r="AAD887" s="808"/>
      <c r="AAE887" s="808"/>
      <c r="AAF887" s="808"/>
      <c r="AAG887" s="808"/>
      <c r="AAH887" s="808"/>
      <c r="AAI887" s="808"/>
      <c r="AAJ887" s="808"/>
      <c r="AAK887" s="808"/>
      <c r="AAL887" s="808"/>
      <c r="AAM887" s="808"/>
      <c r="AAN887" s="808"/>
      <c r="AAO887" s="808"/>
      <c r="AAP887" s="808"/>
      <c r="AAQ887" s="808"/>
      <c r="AAR887" s="808"/>
      <c r="AAS887" s="808"/>
      <c r="AAT887" s="808"/>
      <c r="AAU887" s="808"/>
      <c r="AAV887" s="808"/>
      <c r="AAW887" s="808"/>
      <c r="AAX887" s="808"/>
      <c r="AAY887" s="808"/>
      <c r="AAZ887" s="808"/>
      <c r="ABA887" s="808"/>
      <c r="ABB887" s="808"/>
      <c r="ABC887" s="808"/>
      <c r="ABD887" s="808"/>
      <c r="ABE887" s="808"/>
      <c r="ABF887" s="808"/>
      <c r="ABG887" s="808"/>
      <c r="ABH887" s="808"/>
      <c r="ABI887" s="808"/>
      <c r="ABJ887" s="808"/>
      <c r="ABK887" s="808"/>
      <c r="ABL887" s="808"/>
      <c r="ABM887" s="808"/>
      <c r="ABN887" s="808"/>
      <c r="ABO887" s="808"/>
      <c r="ABP887" s="808"/>
      <c r="ABQ887" s="808"/>
      <c r="ABR887" s="808"/>
      <c r="ABS887" s="808"/>
      <c r="ABT887" s="808"/>
      <c r="ABU887" s="808"/>
      <c r="ABV887" s="808"/>
      <c r="ABW887" s="808"/>
      <c r="ABX887" s="808"/>
      <c r="ABY887" s="808"/>
      <c r="ABZ887" s="808"/>
      <c r="ACA887" s="808"/>
      <c r="ACB887" s="808"/>
      <c r="ACC887" s="808"/>
      <c r="ACD887" s="808"/>
      <c r="ACE887" s="808"/>
      <c r="ACF887" s="808"/>
      <c r="ACG887" s="808"/>
      <c r="ACH887" s="808"/>
      <c r="ACI887" s="808"/>
      <c r="ACJ887" s="808"/>
      <c r="ACK887" s="808"/>
      <c r="ACL887" s="808"/>
      <c r="ACM887" s="808"/>
      <c r="ACN887" s="808"/>
      <c r="ACO887" s="808"/>
      <c r="ACP887" s="808"/>
      <c r="ACQ887" s="808"/>
      <c r="ACR887" s="808"/>
      <c r="ACS887" s="808"/>
      <c r="ACT887" s="808"/>
      <c r="ACU887" s="808"/>
      <c r="ACV887" s="808"/>
      <c r="ACW887" s="808"/>
      <c r="ACX887" s="808"/>
      <c r="ACY887" s="808"/>
      <c r="ACZ887" s="808"/>
      <c r="ADA887" s="808"/>
      <c r="ADB887" s="808"/>
      <c r="ADC887" s="808"/>
      <c r="ADD887" s="808"/>
      <c r="ADE887" s="808"/>
      <c r="ADF887" s="808"/>
      <c r="ADG887" s="808"/>
      <c r="ADH887" s="808"/>
      <c r="ADI887" s="808"/>
      <c r="ADJ887" s="808"/>
      <c r="ADK887" s="808"/>
      <c r="ADL887" s="808"/>
      <c r="ADM887" s="808"/>
      <c r="ADN887" s="808"/>
      <c r="ADO887" s="808"/>
      <c r="ADP887" s="808"/>
      <c r="ADQ887" s="808"/>
      <c r="ADR887" s="808"/>
      <c r="ADS887" s="808"/>
      <c r="ADT887" s="808"/>
      <c r="ADU887" s="808"/>
      <c r="ADV887" s="808"/>
      <c r="ADW887" s="808"/>
      <c r="ADX887" s="808"/>
      <c r="ADY887" s="808"/>
      <c r="ADZ887" s="808"/>
      <c r="AEA887" s="808"/>
      <c r="AEB887" s="808"/>
      <c r="AEC887" s="808"/>
      <c r="AED887" s="808"/>
      <c r="AEE887" s="808"/>
      <c r="AEF887" s="808"/>
      <c r="AEG887" s="808"/>
      <c r="AEH887" s="808"/>
      <c r="AEI887" s="808"/>
      <c r="AEJ887" s="808"/>
      <c r="AEK887" s="808"/>
      <c r="AEL887" s="808"/>
      <c r="AEM887" s="808"/>
      <c r="AEN887" s="808"/>
      <c r="AEO887" s="808"/>
      <c r="AEP887" s="808"/>
      <c r="AEQ887" s="808"/>
      <c r="AER887" s="808"/>
      <c r="AES887" s="808"/>
      <c r="AET887" s="808"/>
      <c r="AEU887" s="808"/>
      <c r="AEV887" s="808"/>
      <c r="AEW887" s="808"/>
      <c r="AEX887" s="808"/>
      <c r="AEY887" s="808"/>
      <c r="AEZ887" s="808"/>
      <c r="AFA887" s="808"/>
      <c r="AFB887" s="808"/>
      <c r="AFC887" s="808"/>
      <c r="AFD887" s="808"/>
      <c r="AFE887" s="808"/>
      <c r="AFF887" s="808"/>
      <c r="AFG887" s="808"/>
      <c r="AFH887" s="808"/>
      <c r="AFI887" s="808"/>
      <c r="AFJ887" s="808"/>
      <c r="AFK887" s="808"/>
      <c r="AFL887" s="808"/>
      <c r="AFM887" s="808"/>
      <c r="AFN887" s="808"/>
      <c r="AFO887" s="808"/>
      <c r="AFP887" s="808"/>
      <c r="AFQ887" s="808"/>
      <c r="AFR887" s="808"/>
      <c r="AFS887" s="808"/>
      <c r="AFT887" s="808"/>
      <c r="AFU887" s="808"/>
      <c r="AFV887" s="808"/>
      <c r="AFW887" s="808"/>
      <c r="AFX887" s="808"/>
      <c r="AFY887" s="808"/>
      <c r="AFZ887" s="808"/>
      <c r="AGA887" s="808"/>
      <c r="AGB887" s="808"/>
      <c r="AGC887" s="808"/>
      <c r="AGD887" s="808"/>
      <c r="AGE887" s="808"/>
      <c r="AGF887" s="808"/>
      <c r="AGG887" s="808"/>
      <c r="AGH887" s="808"/>
      <c r="AGI887" s="808"/>
      <c r="AGJ887" s="808"/>
    </row>
    <row r="888" spans="1:868" s="7" customFormat="1" hidden="1">
      <c r="A888" s="609" t="s">
        <v>118</v>
      </c>
      <c r="B888" s="59" t="s">
        <v>440</v>
      </c>
      <c r="C888" s="40" t="s">
        <v>139</v>
      </c>
      <c r="D888" s="34" t="s">
        <v>99</v>
      </c>
      <c r="E888" s="859">
        <v>6.4613472974172373E-2</v>
      </c>
      <c r="F888" s="34">
        <v>2</v>
      </c>
      <c r="G888" s="40" t="s">
        <v>429</v>
      </c>
      <c r="H888" s="29">
        <v>1</v>
      </c>
      <c r="I888" s="9">
        <v>2</v>
      </c>
      <c r="J888" s="9">
        <v>2</v>
      </c>
      <c r="K888" s="9">
        <v>1</v>
      </c>
      <c r="L888" s="9">
        <v>1</v>
      </c>
      <c r="M888" s="9">
        <v>2</v>
      </c>
      <c r="N888" s="185">
        <f t="shared" si="66"/>
        <v>0.35859414261160716</v>
      </c>
      <c r="O888" s="159">
        <f t="shared" si="65"/>
        <v>0.37356464144298934</v>
      </c>
      <c r="P888" s="63"/>
      <c r="Q888" s="808"/>
      <c r="R888" s="808"/>
      <c r="S888" s="808"/>
      <c r="T888" s="808"/>
      <c r="U888" s="808"/>
      <c r="V888" s="808"/>
      <c r="W888" s="808"/>
      <c r="X888" s="808"/>
      <c r="Y888" s="808"/>
      <c r="Z888" s="808"/>
      <c r="AA888" s="808"/>
      <c r="AB888" s="808"/>
      <c r="AC888" s="808"/>
      <c r="AD888" s="808"/>
      <c r="AE888" s="808"/>
      <c r="AF888" s="808"/>
      <c r="AG888" s="808"/>
      <c r="AH888" s="808"/>
      <c r="AI888" s="808"/>
      <c r="AJ888" s="808"/>
      <c r="AK888" s="808"/>
      <c r="AL888" s="808"/>
      <c r="AM888" s="808"/>
      <c r="AN888" s="808"/>
      <c r="AO888" s="808"/>
      <c r="AP888" s="808"/>
      <c r="AQ888" s="808"/>
      <c r="AR888" s="808"/>
      <c r="AS888" s="808"/>
      <c r="AT888" s="808"/>
      <c r="AU888" s="808"/>
      <c r="AV888" s="808"/>
      <c r="AW888" s="808"/>
      <c r="AX888" s="808"/>
      <c r="AY888" s="808"/>
      <c r="AZ888" s="808"/>
      <c r="BA888" s="808"/>
      <c r="BB888" s="808"/>
      <c r="BC888" s="808"/>
      <c r="BD888" s="808"/>
      <c r="BE888" s="808"/>
      <c r="BF888" s="808"/>
      <c r="BG888" s="808"/>
      <c r="BH888" s="808"/>
      <c r="BI888" s="808"/>
      <c r="BJ888" s="808"/>
      <c r="BK888" s="808"/>
      <c r="BL888" s="808"/>
      <c r="BM888" s="808"/>
      <c r="BN888" s="808"/>
      <c r="BO888" s="808"/>
      <c r="BP888" s="808"/>
      <c r="BQ888" s="808"/>
      <c r="BR888" s="808"/>
      <c r="BS888" s="808"/>
      <c r="BT888" s="808"/>
      <c r="BU888" s="808"/>
      <c r="BV888" s="808"/>
      <c r="BW888" s="808"/>
      <c r="BX888" s="808"/>
      <c r="BY888" s="808"/>
      <c r="BZ888" s="808"/>
      <c r="CA888" s="808"/>
      <c r="CB888" s="808"/>
      <c r="CC888" s="808"/>
      <c r="CD888" s="808"/>
      <c r="CE888" s="808"/>
      <c r="CF888" s="808"/>
      <c r="CG888" s="808"/>
      <c r="CH888" s="808"/>
      <c r="CI888" s="808"/>
      <c r="CJ888" s="808"/>
      <c r="CK888" s="808"/>
      <c r="CL888" s="808"/>
      <c r="CM888" s="808"/>
      <c r="CN888" s="808"/>
      <c r="CO888" s="808"/>
      <c r="CP888" s="808"/>
      <c r="CQ888" s="808"/>
      <c r="CR888" s="808"/>
      <c r="CS888" s="808"/>
      <c r="CT888" s="808"/>
      <c r="CU888" s="808"/>
      <c r="CV888" s="808"/>
      <c r="CW888" s="808"/>
      <c r="CX888" s="808"/>
      <c r="CY888" s="808"/>
      <c r="CZ888" s="808"/>
      <c r="DA888" s="808"/>
      <c r="DB888" s="808"/>
      <c r="DC888" s="808"/>
      <c r="DD888" s="808"/>
      <c r="DE888" s="808"/>
      <c r="DF888" s="808"/>
      <c r="DG888" s="808"/>
      <c r="DH888" s="808"/>
      <c r="DI888" s="808"/>
      <c r="DJ888" s="808"/>
      <c r="DK888" s="808"/>
      <c r="DL888" s="808"/>
      <c r="DM888" s="808"/>
      <c r="DN888" s="808"/>
      <c r="DO888" s="808"/>
      <c r="DP888" s="808"/>
      <c r="DQ888" s="808"/>
      <c r="DR888" s="808"/>
      <c r="DS888" s="808"/>
      <c r="DT888" s="808"/>
      <c r="DU888" s="808"/>
      <c r="DV888" s="808"/>
      <c r="DW888" s="808"/>
      <c r="DX888" s="808"/>
      <c r="DY888" s="808"/>
      <c r="DZ888" s="808"/>
      <c r="EA888" s="808"/>
      <c r="EB888" s="808"/>
      <c r="EC888" s="808"/>
      <c r="ED888" s="808"/>
      <c r="EE888" s="808"/>
      <c r="EF888" s="808"/>
      <c r="EG888" s="808"/>
      <c r="EH888" s="808"/>
      <c r="EI888" s="808"/>
      <c r="EJ888" s="808"/>
      <c r="EK888" s="808"/>
      <c r="EL888" s="808"/>
      <c r="EM888" s="808"/>
      <c r="EN888" s="808"/>
      <c r="EO888" s="808"/>
      <c r="EP888" s="808"/>
      <c r="EQ888" s="808"/>
      <c r="ER888" s="808"/>
      <c r="ES888" s="808"/>
      <c r="ET888" s="808"/>
      <c r="EU888" s="808"/>
      <c r="EV888" s="808"/>
      <c r="EW888" s="808"/>
      <c r="EX888" s="808"/>
      <c r="EY888" s="808"/>
      <c r="EZ888" s="808"/>
      <c r="FA888" s="808"/>
      <c r="FB888" s="808"/>
      <c r="FC888" s="808"/>
      <c r="FD888" s="808"/>
      <c r="FE888" s="808"/>
      <c r="FF888" s="808"/>
      <c r="FG888" s="808"/>
      <c r="FH888" s="808"/>
      <c r="FI888" s="808"/>
      <c r="FJ888" s="808"/>
      <c r="FK888" s="808"/>
      <c r="FL888" s="808"/>
      <c r="FM888" s="808"/>
      <c r="FN888" s="808"/>
      <c r="FO888" s="808"/>
      <c r="FP888" s="808"/>
      <c r="FQ888" s="808"/>
      <c r="FR888" s="808"/>
      <c r="FS888" s="808"/>
      <c r="FT888" s="808"/>
      <c r="FU888" s="808"/>
      <c r="FV888" s="808"/>
      <c r="FW888" s="808"/>
      <c r="FX888" s="808"/>
      <c r="FY888" s="808"/>
      <c r="FZ888" s="808"/>
      <c r="GA888" s="808"/>
      <c r="GB888" s="808"/>
      <c r="GC888" s="808"/>
      <c r="GD888" s="808"/>
      <c r="GE888" s="808"/>
      <c r="GF888" s="808"/>
      <c r="GG888" s="808"/>
      <c r="GH888" s="808"/>
      <c r="GI888" s="808"/>
      <c r="GJ888" s="808"/>
      <c r="GK888" s="808"/>
      <c r="GL888" s="808"/>
      <c r="GM888" s="808"/>
      <c r="GN888" s="808"/>
      <c r="GO888" s="808"/>
      <c r="GP888" s="808"/>
      <c r="GQ888" s="808"/>
      <c r="GR888" s="808"/>
      <c r="GS888" s="808"/>
      <c r="GT888" s="808"/>
      <c r="GU888" s="808"/>
      <c r="GV888" s="808"/>
      <c r="GW888" s="808"/>
      <c r="GX888" s="808"/>
      <c r="GY888" s="808"/>
      <c r="GZ888" s="808"/>
      <c r="HA888" s="808"/>
      <c r="HB888" s="808"/>
      <c r="HC888" s="808"/>
      <c r="HD888" s="808"/>
      <c r="HE888" s="808"/>
      <c r="HF888" s="808"/>
      <c r="HG888" s="808"/>
      <c r="HH888" s="808"/>
      <c r="HI888" s="808"/>
      <c r="HJ888" s="808"/>
      <c r="HK888" s="808"/>
      <c r="HL888" s="808"/>
      <c r="HM888" s="808"/>
      <c r="HN888" s="808"/>
      <c r="HO888" s="808"/>
      <c r="HP888" s="808"/>
      <c r="HQ888" s="808"/>
      <c r="HR888" s="808"/>
      <c r="HS888" s="808"/>
      <c r="HT888" s="808"/>
      <c r="HU888" s="808"/>
      <c r="HV888" s="808"/>
      <c r="HW888" s="808"/>
      <c r="HX888" s="808"/>
      <c r="HY888" s="808"/>
      <c r="HZ888" s="808"/>
      <c r="IA888" s="808"/>
      <c r="IB888" s="808"/>
      <c r="IC888" s="808"/>
      <c r="ID888" s="808"/>
      <c r="IE888" s="808"/>
      <c r="IF888" s="808"/>
      <c r="IG888" s="808"/>
      <c r="IH888" s="808"/>
      <c r="II888" s="808"/>
      <c r="IJ888" s="808"/>
      <c r="IK888" s="808"/>
      <c r="IL888" s="808"/>
      <c r="IM888" s="808"/>
      <c r="IN888" s="808"/>
      <c r="IO888" s="808"/>
      <c r="IP888" s="808"/>
      <c r="IQ888" s="808"/>
      <c r="IR888" s="808"/>
      <c r="IS888" s="808"/>
      <c r="IT888" s="808"/>
      <c r="IU888" s="808"/>
      <c r="IV888" s="808"/>
      <c r="IW888" s="808"/>
      <c r="IX888" s="808"/>
      <c r="IY888" s="808"/>
      <c r="IZ888" s="808"/>
      <c r="JA888" s="808"/>
      <c r="JB888" s="808"/>
      <c r="JC888" s="808"/>
      <c r="JD888" s="808"/>
      <c r="JE888" s="808"/>
      <c r="JF888" s="808"/>
      <c r="JG888" s="808"/>
      <c r="JH888" s="808"/>
      <c r="JI888" s="808"/>
      <c r="JJ888" s="808"/>
      <c r="JK888" s="808"/>
      <c r="JL888" s="808"/>
      <c r="JM888" s="808"/>
      <c r="JN888" s="808"/>
      <c r="JO888" s="808"/>
      <c r="JP888" s="808"/>
      <c r="JQ888" s="808"/>
      <c r="JR888" s="808"/>
      <c r="JS888" s="808"/>
      <c r="JT888" s="808"/>
      <c r="JU888" s="808"/>
      <c r="JV888" s="808"/>
      <c r="JW888" s="808"/>
      <c r="JX888" s="808"/>
      <c r="JY888" s="808"/>
      <c r="JZ888" s="808"/>
      <c r="KA888" s="808"/>
      <c r="KB888" s="808"/>
      <c r="KC888" s="808"/>
      <c r="KD888" s="808"/>
      <c r="KE888" s="808"/>
      <c r="KF888" s="808"/>
      <c r="KG888" s="808"/>
      <c r="KH888" s="808"/>
      <c r="KI888" s="808"/>
      <c r="KJ888" s="808"/>
      <c r="KK888" s="808"/>
      <c r="KL888" s="808"/>
      <c r="KM888" s="808"/>
      <c r="KN888" s="808"/>
      <c r="KO888" s="808"/>
      <c r="KP888" s="808"/>
      <c r="KQ888" s="808"/>
      <c r="KR888" s="808"/>
      <c r="KS888" s="808"/>
      <c r="KT888" s="808"/>
      <c r="KU888" s="808"/>
      <c r="KV888" s="808"/>
      <c r="KW888" s="808"/>
      <c r="KX888" s="808"/>
      <c r="KY888" s="808"/>
      <c r="KZ888" s="808"/>
      <c r="LA888" s="808"/>
      <c r="LB888" s="808"/>
      <c r="LC888" s="808"/>
      <c r="LD888" s="808"/>
      <c r="LE888" s="808"/>
      <c r="LF888" s="808"/>
      <c r="LG888" s="808"/>
      <c r="LH888" s="808"/>
      <c r="LI888" s="808"/>
      <c r="LJ888" s="808"/>
      <c r="LK888" s="808"/>
      <c r="LL888" s="808"/>
      <c r="LM888" s="808"/>
      <c r="LN888" s="808"/>
      <c r="LO888" s="808"/>
      <c r="LP888" s="808"/>
      <c r="LQ888" s="808"/>
      <c r="LR888" s="808"/>
      <c r="LS888" s="808"/>
      <c r="LT888" s="808"/>
      <c r="LU888" s="808"/>
      <c r="LV888" s="808"/>
      <c r="LW888" s="808"/>
      <c r="LX888" s="808"/>
      <c r="LY888" s="808"/>
      <c r="LZ888" s="808"/>
      <c r="MA888" s="808"/>
      <c r="MB888" s="808"/>
      <c r="MC888" s="808"/>
      <c r="MD888" s="808"/>
      <c r="ME888" s="808"/>
      <c r="MF888" s="808"/>
      <c r="MG888" s="808"/>
      <c r="MH888" s="808"/>
      <c r="MI888" s="808"/>
      <c r="MJ888" s="808"/>
      <c r="MK888" s="808"/>
      <c r="ML888" s="808"/>
      <c r="MM888" s="808"/>
      <c r="MN888" s="808"/>
      <c r="MO888" s="808"/>
      <c r="MP888" s="808"/>
      <c r="MQ888" s="808"/>
      <c r="MR888" s="808"/>
      <c r="MS888" s="808"/>
      <c r="MT888" s="808"/>
      <c r="MU888" s="808"/>
      <c r="MV888" s="808"/>
      <c r="MW888" s="808"/>
      <c r="MX888" s="808"/>
      <c r="MY888" s="808"/>
      <c r="MZ888" s="808"/>
      <c r="NA888" s="808"/>
      <c r="NB888" s="808"/>
      <c r="NC888" s="808"/>
      <c r="ND888" s="808"/>
      <c r="NE888" s="808"/>
      <c r="NF888" s="808"/>
      <c r="NG888" s="808"/>
      <c r="NH888" s="808"/>
      <c r="NI888" s="808"/>
      <c r="NJ888" s="808"/>
      <c r="NK888" s="808"/>
      <c r="NL888" s="808"/>
      <c r="NM888" s="808"/>
      <c r="NN888" s="808"/>
      <c r="NO888" s="808"/>
      <c r="NP888" s="808"/>
      <c r="NQ888" s="808"/>
      <c r="NR888" s="808"/>
      <c r="NS888" s="808"/>
      <c r="NT888" s="808"/>
      <c r="NU888" s="808"/>
      <c r="NV888" s="808"/>
      <c r="NW888" s="808"/>
      <c r="NX888" s="808"/>
      <c r="NY888" s="808"/>
      <c r="NZ888" s="808"/>
      <c r="OA888" s="808"/>
      <c r="OB888" s="808"/>
      <c r="OC888" s="808"/>
      <c r="OD888" s="808"/>
      <c r="OE888" s="808"/>
      <c r="OF888" s="808"/>
      <c r="OG888" s="808"/>
      <c r="OH888" s="808"/>
      <c r="OI888" s="808"/>
      <c r="OJ888" s="808"/>
      <c r="OK888" s="808"/>
      <c r="OL888" s="808"/>
      <c r="OM888" s="808"/>
      <c r="ON888" s="808"/>
      <c r="OO888" s="808"/>
      <c r="OP888" s="808"/>
      <c r="OQ888" s="808"/>
      <c r="OR888" s="808"/>
      <c r="OS888" s="808"/>
      <c r="OT888" s="808"/>
      <c r="OU888" s="808"/>
      <c r="OV888" s="808"/>
      <c r="OW888" s="808"/>
      <c r="OX888" s="808"/>
      <c r="OY888" s="808"/>
      <c r="OZ888" s="808"/>
      <c r="PA888" s="808"/>
      <c r="PB888" s="808"/>
      <c r="PC888" s="808"/>
      <c r="PD888" s="808"/>
      <c r="PE888" s="808"/>
      <c r="PF888" s="808"/>
      <c r="PG888" s="808"/>
      <c r="PH888" s="808"/>
      <c r="PI888" s="808"/>
      <c r="PJ888" s="808"/>
      <c r="PK888" s="808"/>
      <c r="PL888" s="808"/>
      <c r="PM888" s="808"/>
      <c r="PN888" s="808"/>
      <c r="PO888" s="808"/>
      <c r="PP888" s="808"/>
      <c r="PQ888" s="808"/>
      <c r="PR888" s="808"/>
      <c r="PS888" s="808"/>
      <c r="PT888" s="808"/>
      <c r="PU888" s="808"/>
      <c r="PV888" s="808"/>
      <c r="PW888" s="808"/>
      <c r="PX888" s="808"/>
      <c r="PY888" s="808"/>
      <c r="PZ888" s="808"/>
      <c r="QA888" s="808"/>
      <c r="QB888" s="808"/>
      <c r="QC888" s="808"/>
      <c r="QD888" s="808"/>
      <c r="QE888" s="808"/>
      <c r="QF888" s="808"/>
      <c r="QG888" s="808"/>
      <c r="QH888" s="808"/>
      <c r="QI888" s="808"/>
      <c r="QJ888" s="808"/>
      <c r="QK888" s="808"/>
      <c r="QL888" s="808"/>
      <c r="QM888" s="808"/>
      <c r="QN888" s="808"/>
      <c r="QO888" s="808"/>
      <c r="QP888" s="808"/>
      <c r="QQ888" s="808"/>
      <c r="QR888" s="808"/>
      <c r="QS888" s="808"/>
      <c r="QT888" s="808"/>
      <c r="QU888" s="808"/>
      <c r="QV888" s="808"/>
      <c r="QW888" s="808"/>
      <c r="QX888" s="808"/>
      <c r="QY888" s="808"/>
      <c r="QZ888" s="808"/>
      <c r="RA888" s="808"/>
      <c r="RB888" s="808"/>
      <c r="RC888" s="808"/>
      <c r="RD888" s="808"/>
      <c r="RE888" s="808"/>
      <c r="RF888" s="808"/>
      <c r="RG888" s="808"/>
      <c r="RH888" s="808"/>
      <c r="RI888" s="808"/>
      <c r="RJ888" s="808"/>
      <c r="RK888" s="808"/>
      <c r="RL888" s="808"/>
      <c r="RM888" s="808"/>
      <c r="RN888" s="808"/>
      <c r="RO888" s="808"/>
      <c r="RP888" s="808"/>
      <c r="RQ888" s="808"/>
      <c r="RR888" s="808"/>
      <c r="RS888" s="808"/>
      <c r="RT888" s="808"/>
      <c r="RU888" s="808"/>
      <c r="RV888" s="808"/>
      <c r="RW888" s="808"/>
      <c r="RX888" s="808"/>
      <c r="RY888" s="808"/>
      <c r="RZ888" s="808"/>
      <c r="SA888" s="808"/>
      <c r="SB888" s="808"/>
      <c r="SC888" s="808"/>
      <c r="SD888" s="808"/>
      <c r="SE888" s="808"/>
      <c r="SF888" s="808"/>
      <c r="SG888" s="808"/>
      <c r="SH888" s="808"/>
      <c r="SI888" s="808"/>
      <c r="SJ888" s="808"/>
      <c r="SK888" s="808"/>
      <c r="SL888" s="808"/>
      <c r="SM888" s="808"/>
      <c r="SN888" s="808"/>
      <c r="SO888" s="808"/>
      <c r="SP888" s="808"/>
      <c r="SQ888" s="808"/>
      <c r="SR888" s="808"/>
      <c r="SS888" s="808"/>
      <c r="ST888" s="808"/>
      <c r="SU888" s="808"/>
      <c r="SV888" s="808"/>
      <c r="SW888" s="808"/>
      <c r="SX888" s="808"/>
      <c r="SY888" s="808"/>
      <c r="SZ888" s="808"/>
      <c r="TA888" s="808"/>
      <c r="TB888" s="808"/>
      <c r="TC888" s="808"/>
      <c r="TD888" s="808"/>
      <c r="TE888" s="808"/>
      <c r="TF888" s="808"/>
      <c r="TG888" s="808"/>
      <c r="TH888" s="808"/>
      <c r="TI888" s="808"/>
      <c r="TJ888" s="808"/>
      <c r="TK888" s="808"/>
      <c r="TL888" s="808"/>
      <c r="TM888" s="808"/>
      <c r="TN888" s="808"/>
      <c r="TO888" s="808"/>
      <c r="TP888" s="808"/>
      <c r="TQ888" s="808"/>
      <c r="TR888" s="808"/>
      <c r="TS888" s="808"/>
      <c r="TT888" s="808"/>
      <c r="TU888" s="808"/>
      <c r="TV888" s="808"/>
      <c r="TW888" s="808"/>
      <c r="TX888" s="808"/>
      <c r="TY888" s="808"/>
      <c r="TZ888" s="808"/>
      <c r="UA888" s="808"/>
      <c r="UB888" s="808"/>
      <c r="UC888" s="808"/>
      <c r="UD888" s="808"/>
      <c r="UE888" s="808"/>
      <c r="UF888" s="808"/>
      <c r="UG888" s="808"/>
      <c r="UH888" s="808"/>
      <c r="UI888" s="808"/>
      <c r="UJ888" s="808"/>
      <c r="UK888" s="808"/>
      <c r="UL888" s="808"/>
      <c r="UM888" s="808"/>
      <c r="UN888" s="808"/>
      <c r="UO888" s="808"/>
      <c r="UP888" s="808"/>
      <c r="UQ888" s="808"/>
      <c r="UR888" s="808"/>
      <c r="US888" s="808"/>
      <c r="UT888" s="808"/>
      <c r="UU888" s="808"/>
      <c r="UV888" s="808"/>
      <c r="UW888" s="808"/>
      <c r="UX888" s="808"/>
      <c r="UY888" s="808"/>
      <c r="UZ888" s="808"/>
      <c r="VA888" s="808"/>
      <c r="VB888" s="808"/>
      <c r="VC888" s="808"/>
      <c r="VD888" s="808"/>
      <c r="VE888" s="808"/>
      <c r="VF888" s="808"/>
      <c r="VG888" s="808"/>
      <c r="VH888" s="808"/>
      <c r="VI888" s="808"/>
      <c r="VJ888" s="808"/>
      <c r="VK888" s="808"/>
      <c r="VL888" s="808"/>
      <c r="VM888" s="808"/>
      <c r="VN888" s="808"/>
      <c r="VO888" s="808"/>
      <c r="VP888" s="808"/>
      <c r="VQ888" s="808"/>
      <c r="VR888" s="808"/>
      <c r="VS888" s="808"/>
      <c r="VT888" s="808"/>
      <c r="VU888" s="808"/>
      <c r="VV888" s="808"/>
      <c r="VW888" s="808"/>
      <c r="VX888" s="808"/>
      <c r="VY888" s="808"/>
      <c r="VZ888" s="808"/>
      <c r="WA888" s="808"/>
      <c r="WB888" s="808"/>
      <c r="WC888" s="808"/>
      <c r="WD888" s="808"/>
      <c r="WE888" s="808"/>
      <c r="WF888" s="808"/>
      <c r="WG888" s="808"/>
      <c r="WH888" s="808"/>
      <c r="WI888" s="808"/>
      <c r="WJ888" s="808"/>
      <c r="WK888" s="808"/>
      <c r="WL888" s="808"/>
      <c r="WM888" s="808"/>
      <c r="WN888" s="808"/>
      <c r="WO888" s="808"/>
      <c r="WP888" s="808"/>
      <c r="WQ888" s="808"/>
      <c r="WR888" s="808"/>
      <c r="WS888" s="808"/>
      <c r="WT888" s="808"/>
      <c r="WU888" s="808"/>
      <c r="WV888" s="808"/>
      <c r="WW888" s="808"/>
      <c r="WX888" s="808"/>
      <c r="WY888" s="808"/>
      <c r="WZ888" s="808"/>
      <c r="XA888" s="808"/>
      <c r="XB888" s="808"/>
      <c r="XC888" s="808"/>
      <c r="XD888" s="808"/>
      <c r="XE888" s="808"/>
      <c r="XF888" s="808"/>
      <c r="XG888" s="808"/>
      <c r="XH888" s="808"/>
      <c r="XI888" s="808"/>
      <c r="XJ888" s="808"/>
      <c r="XK888" s="808"/>
      <c r="XL888" s="808"/>
      <c r="XM888" s="808"/>
      <c r="XN888" s="808"/>
      <c r="XO888" s="808"/>
      <c r="XP888" s="808"/>
      <c r="XQ888" s="808"/>
      <c r="XR888" s="808"/>
      <c r="XS888" s="808"/>
      <c r="XT888" s="808"/>
      <c r="XU888" s="808"/>
      <c r="XV888" s="808"/>
      <c r="XW888" s="808"/>
      <c r="XX888" s="808"/>
      <c r="XY888" s="808"/>
      <c r="XZ888" s="808"/>
      <c r="YA888" s="808"/>
      <c r="YB888" s="808"/>
      <c r="YC888" s="808"/>
      <c r="YD888" s="808"/>
      <c r="YE888" s="808"/>
      <c r="YF888" s="808"/>
      <c r="YG888" s="808"/>
      <c r="YH888" s="808"/>
      <c r="YI888" s="808"/>
      <c r="YJ888" s="808"/>
      <c r="YK888" s="808"/>
      <c r="YL888" s="808"/>
      <c r="YM888" s="808"/>
      <c r="YN888" s="808"/>
      <c r="YO888" s="808"/>
      <c r="YP888" s="808"/>
      <c r="YQ888" s="808"/>
      <c r="YR888" s="808"/>
      <c r="YS888" s="808"/>
      <c r="YT888" s="808"/>
      <c r="YU888" s="808"/>
      <c r="YV888" s="808"/>
      <c r="YW888" s="808"/>
      <c r="YX888" s="808"/>
      <c r="YY888" s="808"/>
      <c r="YZ888" s="808"/>
      <c r="ZA888" s="808"/>
      <c r="ZB888" s="808"/>
      <c r="ZC888" s="808"/>
      <c r="ZD888" s="808"/>
      <c r="ZE888" s="808"/>
      <c r="ZF888" s="808"/>
      <c r="ZG888" s="808"/>
      <c r="ZH888" s="808"/>
      <c r="ZI888" s="808"/>
      <c r="ZJ888" s="808"/>
      <c r="ZK888" s="808"/>
      <c r="ZL888" s="808"/>
      <c r="ZM888" s="808"/>
      <c r="ZN888" s="808"/>
      <c r="ZO888" s="808"/>
      <c r="ZP888" s="808"/>
      <c r="ZQ888" s="808"/>
      <c r="ZR888" s="808"/>
      <c r="ZS888" s="808"/>
      <c r="ZT888" s="808"/>
      <c r="ZU888" s="808"/>
      <c r="ZV888" s="808"/>
      <c r="ZW888" s="808"/>
      <c r="ZX888" s="808"/>
      <c r="ZY888" s="808"/>
      <c r="ZZ888" s="808"/>
      <c r="AAA888" s="808"/>
      <c r="AAB888" s="808"/>
      <c r="AAC888" s="808"/>
      <c r="AAD888" s="808"/>
      <c r="AAE888" s="808"/>
      <c r="AAF888" s="808"/>
      <c r="AAG888" s="808"/>
      <c r="AAH888" s="808"/>
      <c r="AAI888" s="808"/>
      <c r="AAJ888" s="808"/>
      <c r="AAK888" s="808"/>
      <c r="AAL888" s="808"/>
      <c r="AAM888" s="808"/>
      <c r="AAN888" s="808"/>
      <c r="AAO888" s="808"/>
      <c r="AAP888" s="808"/>
      <c r="AAQ888" s="808"/>
      <c r="AAR888" s="808"/>
      <c r="AAS888" s="808"/>
      <c r="AAT888" s="808"/>
      <c r="AAU888" s="808"/>
      <c r="AAV888" s="808"/>
      <c r="AAW888" s="808"/>
      <c r="AAX888" s="808"/>
      <c r="AAY888" s="808"/>
      <c r="AAZ888" s="808"/>
      <c r="ABA888" s="808"/>
      <c r="ABB888" s="808"/>
      <c r="ABC888" s="808"/>
      <c r="ABD888" s="808"/>
      <c r="ABE888" s="808"/>
      <c r="ABF888" s="808"/>
      <c r="ABG888" s="808"/>
      <c r="ABH888" s="808"/>
      <c r="ABI888" s="808"/>
      <c r="ABJ888" s="808"/>
      <c r="ABK888" s="808"/>
      <c r="ABL888" s="808"/>
      <c r="ABM888" s="808"/>
      <c r="ABN888" s="808"/>
      <c r="ABO888" s="808"/>
      <c r="ABP888" s="808"/>
      <c r="ABQ888" s="808"/>
      <c r="ABR888" s="808"/>
      <c r="ABS888" s="808"/>
      <c r="ABT888" s="808"/>
      <c r="ABU888" s="808"/>
      <c r="ABV888" s="808"/>
      <c r="ABW888" s="808"/>
      <c r="ABX888" s="808"/>
      <c r="ABY888" s="808"/>
      <c r="ABZ888" s="808"/>
      <c r="ACA888" s="808"/>
      <c r="ACB888" s="808"/>
      <c r="ACC888" s="808"/>
      <c r="ACD888" s="808"/>
      <c r="ACE888" s="808"/>
      <c r="ACF888" s="808"/>
      <c r="ACG888" s="808"/>
      <c r="ACH888" s="808"/>
      <c r="ACI888" s="808"/>
      <c r="ACJ888" s="808"/>
      <c r="ACK888" s="808"/>
      <c r="ACL888" s="808"/>
      <c r="ACM888" s="808"/>
      <c r="ACN888" s="808"/>
      <c r="ACO888" s="808"/>
      <c r="ACP888" s="808"/>
      <c r="ACQ888" s="808"/>
      <c r="ACR888" s="808"/>
      <c r="ACS888" s="808"/>
      <c r="ACT888" s="808"/>
      <c r="ACU888" s="808"/>
      <c r="ACV888" s="808"/>
      <c r="ACW888" s="808"/>
      <c r="ACX888" s="808"/>
      <c r="ACY888" s="808"/>
      <c r="ACZ888" s="808"/>
      <c r="ADA888" s="808"/>
      <c r="ADB888" s="808"/>
      <c r="ADC888" s="808"/>
      <c r="ADD888" s="808"/>
      <c r="ADE888" s="808"/>
      <c r="ADF888" s="808"/>
      <c r="ADG888" s="808"/>
      <c r="ADH888" s="808"/>
      <c r="ADI888" s="808"/>
      <c r="ADJ888" s="808"/>
      <c r="ADK888" s="808"/>
      <c r="ADL888" s="808"/>
      <c r="ADM888" s="808"/>
      <c r="ADN888" s="808"/>
      <c r="ADO888" s="808"/>
      <c r="ADP888" s="808"/>
      <c r="ADQ888" s="808"/>
      <c r="ADR888" s="808"/>
      <c r="ADS888" s="808"/>
      <c r="ADT888" s="808"/>
      <c r="ADU888" s="808"/>
      <c r="ADV888" s="808"/>
      <c r="ADW888" s="808"/>
      <c r="ADX888" s="808"/>
      <c r="ADY888" s="808"/>
      <c r="ADZ888" s="808"/>
      <c r="AEA888" s="808"/>
      <c r="AEB888" s="808"/>
      <c r="AEC888" s="808"/>
      <c r="AED888" s="808"/>
      <c r="AEE888" s="808"/>
      <c r="AEF888" s="808"/>
      <c r="AEG888" s="808"/>
      <c r="AEH888" s="808"/>
      <c r="AEI888" s="808"/>
      <c r="AEJ888" s="808"/>
      <c r="AEK888" s="808"/>
      <c r="AEL888" s="808"/>
      <c r="AEM888" s="808"/>
      <c r="AEN888" s="808"/>
      <c r="AEO888" s="808"/>
      <c r="AEP888" s="808"/>
      <c r="AEQ888" s="808"/>
      <c r="AER888" s="808"/>
      <c r="AES888" s="808"/>
      <c r="AET888" s="808"/>
      <c r="AEU888" s="808"/>
      <c r="AEV888" s="808"/>
      <c r="AEW888" s="808"/>
      <c r="AEX888" s="808"/>
      <c r="AEY888" s="808"/>
      <c r="AEZ888" s="808"/>
      <c r="AFA888" s="808"/>
      <c r="AFB888" s="808"/>
      <c r="AFC888" s="808"/>
      <c r="AFD888" s="808"/>
      <c r="AFE888" s="808"/>
      <c r="AFF888" s="808"/>
      <c r="AFG888" s="808"/>
      <c r="AFH888" s="808"/>
      <c r="AFI888" s="808"/>
      <c r="AFJ888" s="808"/>
      <c r="AFK888" s="808"/>
      <c r="AFL888" s="808"/>
      <c r="AFM888" s="808"/>
      <c r="AFN888" s="808"/>
      <c r="AFO888" s="808"/>
      <c r="AFP888" s="808"/>
      <c r="AFQ888" s="808"/>
      <c r="AFR888" s="808"/>
      <c r="AFS888" s="808"/>
      <c r="AFT888" s="808"/>
      <c r="AFU888" s="808"/>
      <c r="AFV888" s="808"/>
      <c r="AFW888" s="808"/>
      <c r="AFX888" s="808"/>
      <c r="AFY888" s="808"/>
      <c r="AFZ888" s="808"/>
      <c r="AGA888" s="808"/>
      <c r="AGB888" s="808"/>
      <c r="AGC888" s="808"/>
      <c r="AGD888" s="808"/>
      <c r="AGE888" s="808"/>
      <c r="AGF888" s="808"/>
      <c r="AGG888" s="808"/>
      <c r="AGH888" s="808"/>
      <c r="AGI888" s="808"/>
      <c r="AGJ888" s="808"/>
    </row>
    <row r="889" spans="1:868" s="7" customFormat="1" hidden="1">
      <c r="A889" s="609" t="s">
        <v>118</v>
      </c>
      <c r="B889" s="59" t="s">
        <v>441</v>
      </c>
      <c r="C889" s="40" t="s">
        <v>139</v>
      </c>
      <c r="D889" s="34" t="s">
        <v>99</v>
      </c>
      <c r="E889" s="859">
        <v>4.6596254548681999E-2</v>
      </c>
      <c r="F889" s="34">
        <v>2</v>
      </c>
      <c r="G889" s="40" t="s">
        <v>429</v>
      </c>
      <c r="H889" s="29">
        <v>1</v>
      </c>
      <c r="I889" s="9">
        <v>2</v>
      </c>
      <c r="J889" s="9">
        <v>2</v>
      </c>
      <c r="K889" s="9">
        <v>1</v>
      </c>
      <c r="L889" s="9">
        <v>1</v>
      </c>
      <c r="M889" s="9">
        <v>2</v>
      </c>
      <c r="N889" s="185">
        <f t="shared" si="66"/>
        <v>0.35859414261160716</v>
      </c>
      <c r="O889" s="159">
        <f t="shared" si="65"/>
        <v>0.37356464144298934</v>
      </c>
      <c r="P889" s="63"/>
      <c r="Q889" s="808"/>
      <c r="R889" s="808"/>
      <c r="S889" s="808"/>
      <c r="T889" s="808"/>
      <c r="U889" s="808"/>
      <c r="V889" s="808"/>
      <c r="W889" s="808"/>
      <c r="X889" s="808"/>
      <c r="Y889" s="808"/>
      <c r="Z889" s="808"/>
      <c r="AA889" s="808"/>
      <c r="AB889" s="808"/>
      <c r="AC889" s="808"/>
      <c r="AD889" s="808"/>
      <c r="AE889" s="808"/>
      <c r="AF889" s="808"/>
      <c r="AG889" s="808"/>
      <c r="AH889" s="808"/>
      <c r="AI889" s="808"/>
      <c r="AJ889" s="808"/>
      <c r="AK889" s="808"/>
      <c r="AL889" s="808"/>
      <c r="AM889" s="808"/>
      <c r="AN889" s="808"/>
      <c r="AO889" s="808"/>
      <c r="AP889" s="808"/>
      <c r="AQ889" s="808"/>
      <c r="AR889" s="808"/>
      <c r="AS889" s="808"/>
      <c r="AT889" s="808"/>
      <c r="AU889" s="808"/>
      <c r="AV889" s="808"/>
      <c r="AW889" s="808"/>
      <c r="AX889" s="808"/>
      <c r="AY889" s="808"/>
      <c r="AZ889" s="808"/>
      <c r="BA889" s="808"/>
      <c r="BB889" s="808"/>
      <c r="BC889" s="808"/>
      <c r="BD889" s="808"/>
      <c r="BE889" s="808"/>
      <c r="BF889" s="808"/>
      <c r="BG889" s="808"/>
      <c r="BH889" s="808"/>
      <c r="BI889" s="808"/>
      <c r="BJ889" s="808"/>
      <c r="BK889" s="808"/>
      <c r="BL889" s="808"/>
      <c r="BM889" s="808"/>
      <c r="BN889" s="808"/>
      <c r="BO889" s="808"/>
      <c r="BP889" s="808"/>
      <c r="BQ889" s="808"/>
      <c r="BR889" s="808"/>
      <c r="BS889" s="808"/>
      <c r="BT889" s="808"/>
      <c r="BU889" s="808"/>
      <c r="BV889" s="808"/>
      <c r="BW889" s="808"/>
      <c r="BX889" s="808"/>
      <c r="BY889" s="808"/>
      <c r="BZ889" s="808"/>
      <c r="CA889" s="808"/>
      <c r="CB889" s="808"/>
      <c r="CC889" s="808"/>
      <c r="CD889" s="808"/>
      <c r="CE889" s="808"/>
      <c r="CF889" s="808"/>
      <c r="CG889" s="808"/>
      <c r="CH889" s="808"/>
      <c r="CI889" s="808"/>
      <c r="CJ889" s="808"/>
      <c r="CK889" s="808"/>
      <c r="CL889" s="808"/>
      <c r="CM889" s="808"/>
      <c r="CN889" s="808"/>
      <c r="CO889" s="808"/>
      <c r="CP889" s="808"/>
      <c r="CQ889" s="808"/>
      <c r="CR889" s="808"/>
      <c r="CS889" s="808"/>
      <c r="CT889" s="808"/>
      <c r="CU889" s="808"/>
      <c r="CV889" s="808"/>
      <c r="CW889" s="808"/>
      <c r="CX889" s="808"/>
      <c r="CY889" s="808"/>
      <c r="CZ889" s="808"/>
      <c r="DA889" s="808"/>
      <c r="DB889" s="808"/>
      <c r="DC889" s="808"/>
      <c r="DD889" s="808"/>
      <c r="DE889" s="808"/>
      <c r="DF889" s="808"/>
      <c r="DG889" s="808"/>
      <c r="DH889" s="808"/>
      <c r="DI889" s="808"/>
      <c r="DJ889" s="808"/>
      <c r="DK889" s="808"/>
      <c r="DL889" s="808"/>
      <c r="DM889" s="808"/>
      <c r="DN889" s="808"/>
      <c r="DO889" s="808"/>
      <c r="DP889" s="808"/>
      <c r="DQ889" s="808"/>
      <c r="DR889" s="808"/>
      <c r="DS889" s="808"/>
      <c r="DT889" s="808"/>
      <c r="DU889" s="808"/>
      <c r="DV889" s="808"/>
      <c r="DW889" s="808"/>
      <c r="DX889" s="808"/>
      <c r="DY889" s="808"/>
      <c r="DZ889" s="808"/>
      <c r="EA889" s="808"/>
      <c r="EB889" s="808"/>
      <c r="EC889" s="808"/>
      <c r="ED889" s="808"/>
      <c r="EE889" s="808"/>
      <c r="EF889" s="808"/>
      <c r="EG889" s="808"/>
      <c r="EH889" s="808"/>
      <c r="EI889" s="808"/>
      <c r="EJ889" s="808"/>
      <c r="EK889" s="808"/>
      <c r="EL889" s="808"/>
      <c r="EM889" s="808"/>
      <c r="EN889" s="808"/>
      <c r="EO889" s="808"/>
      <c r="EP889" s="808"/>
      <c r="EQ889" s="808"/>
      <c r="ER889" s="808"/>
      <c r="ES889" s="808"/>
      <c r="ET889" s="808"/>
      <c r="EU889" s="808"/>
      <c r="EV889" s="808"/>
      <c r="EW889" s="808"/>
      <c r="EX889" s="808"/>
      <c r="EY889" s="808"/>
      <c r="EZ889" s="808"/>
      <c r="FA889" s="808"/>
      <c r="FB889" s="808"/>
      <c r="FC889" s="808"/>
      <c r="FD889" s="808"/>
      <c r="FE889" s="808"/>
      <c r="FF889" s="808"/>
      <c r="FG889" s="808"/>
      <c r="FH889" s="808"/>
      <c r="FI889" s="808"/>
      <c r="FJ889" s="808"/>
      <c r="FK889" s="808"/>
      <c r="FL889" s="808"/>
      <c r="FM889" s="808"/>
      <c r="FN889" s="808"/>
      <c r="FO889" s="808"/>
      <c r="FP889" s="808"/>
      <c r="FQ889" s="808"/>
      <c r="FR889" s="808"/>
      <c r="FS889" s="808"/>
      <c r="FT889" s="808"/>
      <c r="FU889" s="808"/>
      <c r="FV889" s="808"/>
      <c r="FW889" s="808"/>
      <c r="FX889" s="808"/>
      <c r="FY889" s="808"/>
      <c r="FZ889" s="808"/>
      <c r="GA889" s="808"/>
      <c r="GB889" s="808"/>
      <c r="GC889" s="808"/>
      <c r="GD889" s="808"/>
      <c r="GE889" s="808"/>
      <c r="GF889" s="808"/>
      <c r="GG889" s="808"/>
      <c r="GH889" s="808"/>
      <c r="GI889" s="808"/>
      <c r="GJ889" s="808"/>
      <c r="GK889" s="808"/>
      <c r="GL889" s="808"/>
      <c r="GM889" s="808"/>
      <c r="GN889" s="808"/>
      <c r="GO889" s="808"/>
      <c r="GP889" s="808"/>
      <c r="GQ889" s="808"/>
      <c r="GR889" s="808"/>
      <c r="GS889" s="808"/>
      <c r="GT889" s="808"/>
      <c r="GU889" s="808"/>
      <c r="GV889" s="808"/>
      <c r="GW889" s="808"/>
      <c r="GX889" s="808"/>
      <c r="GY889" s="808"/>
      <c r="GZ889" s="808"/>
      <c r="HA889" s="808"/>
      <c r="HB889" s="808"/>
      <c r="HC889" s="808"/>
      <c r="HD889" s="808"/>
      <c r="HE889" s="808"/>
      <c r="HF889" s="808"/>
      <c r="HG889" s="808"/>
      <c r="HH889" s="808"/>
      <c r="HI889" s="808"/>
      <c r="HJ889" s="808"/>
      <c r="HK889" s="808"/>
      <c r="HL889" s="808"/>
      <c r="HM889" s="808"/>
      <c r="HN889" s="808"/>
      <c r="HO889" s="808"/>
      <c r="HP889" s="808"/>
      <c r="HQ889" s="808"/>
      <c r="HR889" s="808"/>
      <c r="HS889" s="808"/>
      <c r="HT889" s="808"/>
      <c r="HU889" s="808"/>
      <c r="HV889" s="808"/>
      <c r="HW889" s="808"/>
      <c r="HX889" s="808"/>
      <c r="HY889" s="808"/>
      <c r="HZ889" s="808"/>
      <c r="IA889" s="808"/>
      <c r="IB889" s="808"/>
      <c r="IC889" s="808"/>
      <c r="ID889" s="808"/>
      <c r="IE889" s="808"/>
      <c r="IF889" s="808"/>
      <c r="IG889" s="808"/>
      <c r="IH889" s="808"/>
      <c r="II889" s="808"/>
      <c r="IJ889" s="808"/>
      <c r="IK889" s="808"/>
      <c r="IL889" s="808"/>
      <c r="IM889" s="808"/>
      <c r="IN889" s="808"/>
      <c r="IO889" s="808"/>
      <c r="IP889" s="808"/>
      <c r="IQ889" s="808"/>
      <c r="IR889" s="808"/>
      <c r="IS889" s="808"/>
      <c r="IT889" s="808"/>
      <c r="IU889" s="808"/>
      <c r="IV889" s="808"/>
      <c r="IW889" s="808"/>
      <c r="IX889" s="808"/>
      <c r="IY889" s="808"/>
      <c r="IZ889" s="808"/>
      <c r="JA889" s="808"/>
      <c r="JB889" s="808"/>
      <c r="JC889" s="808"/>
      <c r="JD889" s="808"/>
      <c r="JE889" s="808"/>
      <c r="JF889" s="808"/>
      <c r="JG889" s="808"/>
      <c r="JH889" s="808"/>
      <c r="JI889" s="808"/>
      <c r="JJ889" s="808"/>
      <c r="JK889" s="808"/>
      <c r="JL889" s="808"/>
      <c r="JM889" s="808"/>
      <c r="JN889" s="808"/>
      <c r="JO889" s="808"/>
      <c r="JP889" s="808"/>
      <c r="JQ889" s="808"/>
      <c r="JR889" s="808"/>
      <c r="JS889" s="808"/>
      <c r="JT889" s="808"/>
      <c r="JU889" s="808"/>
      <c r="JV889" s="808"/>
      <c r="JW889" s="808"/>
      <c r="JX889" s="808"/>
      <c r="JY889" s="808"/>
      <c r="JZ889" s="808"/>
      <c r="KA889" s="808"/>
      <c r="KB889" s="808"/>
      <c r="KC889" s="808"/>
      <c r="KD889" s="808"/>
      <c r="KE889" s="808"/>
      <c r="KF889" s="808"/>
      <c r="KG889" s="808"/>
      <c r="KH889" s="808"/>
      <c r="KI889" s="808"/>
      <c r="KJ889" s="808"/>
      <c r="KK889" s="808"/>
      <c r="KL889" s="808"/>
      <c r="KM889" s="808"/>
      <c r="KN889" s="808"/>
      <c r="KO889" s="808"/>
      <c r="KP889" s="808"/>
      <c r="KQ889" s="808"/>
      <c r="KR889" s="808"/>
      <c r="KS889" s="808"/>
      <c r="KT889" s="808"/>
      <c r="KU889" s="808"/>
      <c r="KV889" s="808"/>
      <c r="KW889" s="808"/>
      <c r="KX889" s="808"/>
      <c r="KY889" s="808"/>
      <c r="KZ889" s="808"/>
      <c r="LA889" s="808"/>
      <c r="LB889" s="808"/>
      <c r="LC889" s="808"/>
      <c r="LD889" s="808"/>
      <c r="LE889" s="808"/>
      <c r="LF889" s="808"/>
      <c r="LG889" s="808"/>
      <c r="LH889" s="808"/>
      <c r="LI889" s="808"/>
      <c r="LJ889" s="808"/>
      <c r="LK889" s="808"/>
      <c r="LL889" s="808"/>
      <c r="LM889" s="808"/>
      <c r="LN889" s="808"/>
      <c r="LO889" s="808"/>
      <c r="LP889" s="808"/>
      <c r="LQ889" s="808"/>
      <c r="LR889" s="808"/>
      <c r="LS889" s="808"/>
      <c r="LT889" s="808"/>
      <c r="LU889" s="808"/>
      <c r="LV889" s="808"/>
      <c r="LW889" s="808"/>
      <c r="LX889" s="808"/>
      <c r="LY889" s="808"/>
      <c r="LZ889" s="808"/>
      <c r="MA889" s="808"/>
      <c r="MB889" s="808"/>
      <c r="MC889" s="808"/>
      <c r="MD889" s="808"/>
      <c r="ME889" s="808"/>
      <c r="MF889" s="808"/>
      <c r="MG889" s="808"/>
      <c r="MH889" s="808"/>
      <c r="MI889" s="808"/>
      <c r="MJ889" s="808"/>
      <c r="MK889" s="808"/>
      <c r="ML889" s="808"/>
      <c r="MM889" s="808"/>
      <c r="MN889" s="808"/>
      <c r="MO889" s="808"/>
      <c r="MP889" s="808"/>
      <c r="MQ889" s="808"/>
      <c r="MR889" s="808"/>
      <c r="MS889" s="808"/>
      <c r="MT889" s="808"/>
      <c r="MU889" s="808"/>
      <c r="MV889" s="808"/>
      <c r="MW889" s="808"/>
      <c r="MX889" s="808"/>
      <c r="MY889" s="808"/>
      <c r="MZ889" s="808"/>
      <c r="NA889" s="808"/>
      <c r="NB889" s="808"/>
      <c r="NC889" s="808"/>
      <c r="ND889" s="808"/>
      <c r="NE889" s="808"/>
      <c r="NF889" s="808"/>
      <c r="NG889" s="808"/>
      <c r="NH889" s="808"/>
      <c r="NI889" s="808"/>
      <c r="NJ889" s="808"/>
      <c r="NK889" s="808"/>
      <c r="NL889" s="808"/>
      <c r="NM889" s="808"/>
      <c r="NN889" s="808"/>
      <c r="NO889" s="808"/>
      <c r="NP889" s="808"/>
      <c r="NQ889" s="808"/>
      <c r="NR889" s="808"/>
      <c r="NS889" s="808"/>
      <c r="NT889" s="808"/>
      <c r="NU889" s="808"/>
      <c r="NV889" s="808"/>
      <c r="NW889" s="808"/>
      <c r="NX889" s="808"/>
      <c r="NY889" s="808"/>
      <c r="NZ889" s="808"/>
      <c r="OA889" s="808"/>
      <c r="OB889" s="808"/>
      <c r="OC889" s="808"/>
      <c r="OD889" s="808"/>
      <c r="OE889" s="808"/>
      <c r="OF889" s="808"/>
      <c r="OG889" s="808"/>
      <c r="OH889" s="808"/>
      <c r="OI889" s="808"/>
      <c r="OJ889" s="808"/>
      <c r="OK889" s="808"/>
      <c r="OL889" s="808"/>
      <c r="OM889" s="808"/>
      <c r="ON889" s="808"/>
      <c r="OO889" s="808"/>
      <c r="OP889" s="808"/>
      <c r="OQ889" s="808"/>
      <c r="OR889" s="808"/>
      <c r="OS889" s="808"/>
      <c r="OT889" s="808"/>
      <c r="OU889" s="808"/>
      <c r="OV889" s="808"/>
      <c r="OW889" s="808"/>
      <c r="OX889" s="808"/>
      <c r="OY889" s="808"/>
      <c r="OZ889" s="808"/>
      <c r="PA889" s="808"/>
      <c r="PB889" s="808"/>
      <c r="PC889" s="808"/>
      <c r="PD889" s="808"/>
      <c r="PE889" s="808"/>
      <c r="PF889" s="808"/>
      <c r="PG889" s="808"/>
      <c r="PH889" s="808"/>
      <c r="PI889" s="808"/>
      <c r="PJ889" s="808"/>
      <c r="PK889" s="808"/>
      <c r="PL889" s="808"/>
      <c r="PM889" s="808"/>
      <c r="PN889" s="808"/>
      <c r="PO889" s="808"/>
      <c r="PP889" s="808"/>
      <c r="PQ889" s="808"/>
      <c r="PR889" s="808"/>
      <c r="PS889" s="808"/>
      <c r="PT889" s="808"/>
      <c r="PU889" s="808"/>
      <c r="PV889" s="808"/>
      <c r="PW889" s="808"/>
      <c r="PX889" s="808"/>
      <c r="PY889" s="808"/>
      <c r="PZ889" s="808"/>
      <c r="QA889" s="808"/>
      <c r="QB889" s="808"/>
      <c r="QC889" s="808"/>
      <c r="QD889" s="808"/>
      <c r="QE889" s="808"/>
      <c r="QF889" s="808"/>
      <c r="QG889" s="808"/>
      <c r="QH889" s="808"/>
      <c r="QI889" s="808"/>
      <c r="QJ889" s="808"/>
      <c r="QK889" s="808"/>
      <c r="QL889" s="808"/>
      <c r="QM889" s="808"/>
      <c r="QN889" s="808"/>
      <c r="QO889" s="808"/>
      <c r="QP889" s="808"/>
      <c r="QQ889" s="808"/>
      <c r="QR889" s="808"/>
      <c r="QS889" s="808"/>
      <c r="QT889" s="808"/>
      <c r="QU889" s="808"/>
      <c r="QV889" s="808"/>
      <c r="QW889" s="808"/>
      <c r="QX889" s="808"/>
      <c r="QY889" s="808"/>
      <c r="QZ889" s="808"/>
      <c r="RA889" s="808"/>
      <c r="RB889" s="808"/>
      <c r="RC889" s="808"/>
      <c r="RD889" s="808"/>
      <c r="RE889" s="808"/>
      <c r="RF889" s="808"/>
      <c r="RG889" s="808"/>
      <c r="RH889" s="808"/>
      <c r="RI889" s="808"/>
      <c r="RJ889" s="808"/>
      <c r="RK889" s="808"/>
      <c r="RL889" s="808"/>
      <c r="RM889" s="808"/>
      <c r="RN889" s="808"/>
      <c r="RO889" s="808"/>
      <c r="RP889" s="808"/>
      <c r="RQ889" s="808"/>
      <c r="RR889" s="808"/>
      <c r="RS889" s="808"/>
      <c r="RT889" s="808"/>
      <c r="RU889" s="808"/>
      <c r="RV889" s="808"/>
      <c r="RW889" s="808"/>
      <c r="RX889" s="808"/>
      <c r="RY889" s="808"/>
      <c r="RZ889" s="808"/>
      <c r="SA889" s="808"/>
      <c r="SB889" s="808"/>
      <c r="SC889" s="808"/>
      <c r="SD889" s="808"/>
      <c r="SE889" s="808"/>
      <c r="SF889" s="808"/>
      <c r="SG889" s="808"/>
      <c r="SH889" s="808"/>
      <c r="SI889" s="808"/>
      <c r="SJ889" s="808"/>
      <c r="SK889" s="808"/>
      <c r="SL889" s="808"/>
      <c r="SM889" s="808"/>
      <c r="SN889" s="808"/>
      <c r="SO889" s="808"/>
      <c r="SP889" s="808"/>
      <c r="SQ889" s="808"/>
      <c r="SR889" s="808"/>
      <c r="SS889" s="808"/>
      <c r="ST889" s="808"/>
      <c r="SU889" s="808"/>
      <c r="SV889" s="808"/>
      <c r="SW889" s="808"/>
      <c r="SX889" s="808"/>
      <c r="SY889" s="808"/>
      <c r="SZ889" s="808"/>
      <c r="TA889" s="808"/>
      <c r="TB889" s="808"/>
      <c r="TC889" s="808"/>
      <c r="TD889" s="808"/>
      <c r="TE889" s="808"/>
      <c r="TF889" s="808"/>
      <c r="TG889" s="808"/>
      <c r="TH889" s="808"/>
      <c r="TI889" s="808"/>
      <c r="TJ889" s="808"/>
      <c r="TK889" s="808"/>
      <c r="TL889" s="808"/>
      <c r="TM889" s="808"/>
      <c r="TN889" s="808"/>
      <c r="TO889" s="808"/>
      <c r="TP889" s="808"/>
      <c r="TQ889" s="808"/>
      <c r="TR889" s="808"/>
      <c r="TS889" s="808"/>
      <c r="TT889" s="808"/>
      <c r="TU889" s="808"/>
      <c r="TV889" s="808"/>
      <c r="TW889" s="808"/>
      <c r="TX889" s="808"/>
      <c r="TY889" s="808"/>
      <c r="TZ889" s="808"/>
      <c r="UA889" s="808"/>
      <c r="UB889" s="808"/>
      <c r="UC889" s="808"/>
      <c r="UD889" s="808"/>
      <c r="UE889" s="808"/>
      <c r="UF889" s="808"/>
      <c r="UG889" s="808"/>
      <c r="UH889" s="808"/>
      <c r="UI889" s="808"/>
      <c r="UJ889" s="808"/>
      <c r="UK889" s="808"/>
      <c r="UL889" s="808"/>
      <c r="UM889" s="808"/>
      <c r="UN889" s="808"/>
      <c r="UO889" s="808"/>
      <c r="UP889" s="808"/>
      <c r="UQ889" s="808"/>
      <c r="UR889" s="808"/>
      <c r="US889" s="808"/>
      <c r="UT889" s="808"/>
      <c r="UU889" s="808"/>
      <c r="UV889" s="808"/>
      <c r="UW889" s="808"/>
      <c r="UX889" s="808"/>
      <c r="UY889" s="808"/>
      <c r="UZ889" s="808"/>
      <c r="VA889" s="808"/>
      <c r="VB889" s="808"/>
      <c r="VC889" s="808"/>
      <c r="VD889" s="808"/>
      <c r="VE889" s="808"/>
      <c r="VF889" s="808"/>
      <c r="VG889" s="808"/>
      <c r="VH889" s="808"/>
      <c r="VI889" s="808"/>
      <c r="VJ889" s="808"/>
      <c r="VK889" s="808"/>
      <c r="VL889" s="808"/>
      <c r="VM889" s="808"/>
      <c r="VN889" s="808"/>
      <c r="VO889" s="808"/>
      <c r="VP889" s="808"/>
      <c r="VQ889" s="808"/>
      <c r="VR889" s="808"/>
      <c r="VS889" s="808"/>
      <c r="VT889" s="808"/>
      <c r="VU889" s="808"/>
      <c r="VV889" s="808"/>
      <c r="VW889" s="808"/>
      <c r="VX889" s="808"/>
      <c r="VY889" s="808"/>
      <c r="VZ889" s="808"/>
      <c r="WA889" s="808"/>
      <c r="WB889" s="808"/>
      <c r="WC889" s="808"/>
      <c r="WD889" s="808"/>
      <c r="WE889" s="808"/>
      <c r="WF889" s="808"/>
      <c r="WG889" s="808"/>
      <c r="WH889" s="808"/>
      <c r="WI889" s="808"/>
      <c r="WJ889" s="808"/>
      <c r="WK889" s="808"/>
      <c r="WL889" s="808"/>
      <c r="WM889" s="808"/>
      <c r="WN889" s="808"/>
      <c r="WO889" s="808"/>
      <c r="WP889" s="808"/>
      <c r="WQ889" s="808"/>
      <c r="WR889" s="808"/>
      <c r="WS889" s="808"/>
      <c r="WT889" s="808"/>
      <c r="WU889" s="808"/>
      <c r="WV889" s="808"/>
      <c r="WW889" s="808"/>
      <c r="WX889" s="808"/>
      <c r="WY889" s="808"/>
      <c r="WZ889" s="808"/>
      <c r="XA889" s="808"/>
      <c r="XB889" s="808"/>
      <c r="XC889" s="808"/>
      <c r="XD889" s="808"/>
      <c r="XE889" s="808"/>
      <c r="XF889" s="808"/>
      <c r="XG889" s="808"/>
      <c r="XH889" s="808"/>
      <c r="XI889" s="808"/>
      <c r="XJ889" s="808"/>
      <c r="XK889" s="808"/>
      <c r="XL889" s="808"/>
      <c r="XM889" s="808"/>
      <c r="XN889" s="808"/>
      <c r="XO889" s="808"/>
      <c r="XP889" s="808"/>
      <c r="XQ889" s="808"/>
      <c r="XR889" s="808"/>
      <c r="XS889" s="808"/>
      <c r="XT889" s="808"/>
      <c r="XU889" s="808"/>
      <c r="XV889" s="808"/>
      <c r="XW889" s="808"/>
      <c r="XX889" s="808"/>
      <c r="XY889" s="808"/>
      <c r="XZ889" s="808"/>
      <c r="YA889" s="808"/>
      <c r="YB889" s="808"/>
      <c r="YC889" s="808"/>
      <c r="YD889" s="808"/>
      <c r="YE889" s="808"/>
      <c r="YF889" s="808"/>
      <c r="YG889" s="808"/>
      <c r="YH889" s="808"/>
      <c r="YI889" s="808"/>
      <c r="YJ889" s="808"/>
      <c r="YK889" s="808"/>
      <c r="YL889" s="808"/>
      <c r="YM889" s="808"/>
      <c r="YN889" s="808"/>
      <c r="YO889" s="808"/>
      <c r="YP889" s="808"/>
      <c r="YQ889" s="808"/>
      <c r="YR889" s="808"/>
      <c r="YS889" s="808"/>
      <c r="YT889" s="808"/>
      <c r="YU889" s="808"/>
      <c r="YV889" s="808"/>
      <c r="YW889" s="808"/>
      <c r="YX889" s="808"/>
      <c r="YY889" s="808"/>
      <c r="YZ889" s="808"/>
      <c r="ZA889" s="808"/>
      <c r="ZB889" s="808"/>
      <c r="ZC889" s="808"/>
      <c r="ZD889" s="808"/>
      <c r="ZE889" s="808"/>
      <c r="ZF889" s="808"/>
      <c r="ZG889" s="808"/>
      <c r="ZH889" s="808"/>
      <c r="ZI889" s="808"/>
      <c r="ZJ889" s="808"/>
      <c r="ZK889" s="808"/>
      <c r="ZL889" s="808"/>
      <c r="ZM889" s="808"/>
      <c r="ZN889" s="808"/>
      <c r="ZO889" s="808"/>
      <c r="ZP889" s="808"/>
      <c r="ZQ889" s="808"/>
      <c r="ZR889" s="808"/>
      <c r="ZS889" s="808"/>
      <c r="ZT889" s="808"/>
      <c r="ZU889" s="808"/>
      <c r="ZV889" s="808"/>
      <c r="ZW889" s="808"/>
      <c r="ZX889" s="808"/>
      <c r="ZY889" s="808"/>
      <c r="ZZ889" s="808"/>
      <c r="AAA889" s="808"/>
      <c r="AAB889" s="808"/>
      <c r="AAC889" s="808"/>
      <c r="AAD889" s="808"/>
      <c r="AAE889" s="808"/>
      <c r="AAF889" s="808"/>
      <c r="AAG889" s="808"/>
      <c r="AAH889" s="808"/>
      <c r="AAI889" s="808"/>
      <c r="AAJ889" s="808"/>
      <c r="AAK889" s="808"/>
      <c r="AAL889" s="808"/>
      <c r="AAM889" s="808"/>
      <c r="AAN889" s="808"/>
      <c r="AAO889" s="808"/>
      <c r="AAP889" s="808"/>
      <c r="AAQ889" s="808"/>
      <c r="AAR889" s="808"/>
      <c r="AAS889" s="808"/>
      <c r="AAT889" s="808"/>
      <c r="AAU889" s="808"/>
      <c r="AAV889" s="808"/>
      <c r="AAW889" s="808"/>
      <c r="AAX889" s="808"/>
      <c r="AAY889" s="808"/>
      <c r="AAZ889" s="808"/>
      <c r="ABA889" s="808"/>
      <c r="ABB889" s="808"/>
      <c r="ABC889" s="808"/>
      <c r="ABD889" s="808"/>
      <c r="ABE889" s="808"/>
      <c r="ABF889" s="808"/>
      <c r="ABG889" s="808"/>
      <c r="ABH889" s="808"/>
      <c r="ABI889" s="808"/>
      <c r="ABJ889" s="808"/>
      <c r="ABK889" s="808"/>
      <c r="ABL889" s="808"/>
      <c r="ABM889" s="808"/>
      <c r="ABN889" s="808"/>
      <c r="ABO889" s="808"/>
      <c r="ABP889" s="808"/>
      <c r="ABQ889" s="808"/>
      <c r="ABR889" s="808"/>
      <c r="ABS889" s="808"/>
      <c r="ABT889" s="808"/>
      <c r="ABU889" s="808"/>
      <c r="ABV889" s="808"/>
      <c r="ABW889" s="808"/>
      <c r="ABX889" s="808"/>
      <c r="ABY889" s="808"/>
      <c r="ABZ889" s="808"/>
      <c r="ACA889" s="808"/>
      <c r="ACB889" s="808"/>
      <c r="ACC889" s="808"/>
      <c r="ACD889" s="808"/>
      <c r="ACE889" s="808"/>
      <c r="ACF889" s="808"/>
      <c r="ACG889" s="808"/>
      <c r="ACH889" s="808"/>
      <c r="ACI889" s="808"/>
      <c r="ACJ889" s="808"/>
      <c r="ACK889" s="808"/>
      <c r="ACL889" s="808"/>
      <c r="ACM889" s="808"/>
      <c r="ACN889" s="808"/>
      <c r="ACO889" s="808"/>
      <c r="ACP889" s="808"/>
      <c r="ACQ889" s="808"/>
      <c r="ACR889" s="808"/>
      <c r="ACS889" s="808"/>
      <c r="ACT889" s="808"/>
      <c r="ACU889" s="808"/>
      <c r="ACV889" s="808"/>
      <c r="ACW889" s="808"/>
      <c r="ACX889" s="808"/>
      <c r="ACY889" s="808"/>
      <c r="ACZ889" s="808"/>
      <c r="ADA889" s="808"/>
      <c r="ADB889" s="808"/>
      <c r="ADC889" s="808"/>
      <c r="ADD889" s="808"/>
      <c r="ADE889" s="808"/>
      <c r="ADF889" s="808"/>
      <c r="ADG889" s="808"/>
      <c r="ADH889" s="808"/>
      <c r="ADI889" s="808"/>
      <c r="ADJ889" s="808"/>
      <c r="ADK889" s="808"/>
      <c r="ADL889" s="808"/>
      <c r="ADM889" s="808"/>
      <c r="ADN889" s="808"/>
      <c r="ADO889" s="808"/>
      <c r="ADP889" s="808"/>
      <c r="ADQ889" s="808"/>
      <c r="ADR889" s="808"/>
      <c r="ADS889" s="808"/>
      <c r="ADT889" s="808"/>
      <c r="ADU889" s="808"/>
      <c r="ADV889" s="808"/>
      <c r="ADW889" s="808"/>
      <c r="ADX889" s="808"/>
      <c r="ADY889" s="808"/>
      <c r="ADZ889" s="808"/>
      <c r="AEA889" s="808"/>
      <c r="AEB889" s="808"/>
      <c r="AEC889" s="808"/>
      <c r="AED889" s="808"/>
      <c r="AEE889" s="808"/>
      <c r="AEF889" s="808"/>
      <c r="AEG889" s="808"/>
      <c r="AEH889" s="808"/>
      <c r="AEI889" s="808"/>
      <c r="AEJ889" s="808"/>
      <c r="AEK889" s="808"/>
      <c r="AEL889" s="808"/>
      <c r="AEM889" s="808"/>
      <c r="AEN889" s="808"/>
      <c r="AEO889" s="808"/>
      <c r="AEP889" s="808"/>
      <c r="AEQ889" s="808"/>
      <c r="AER889" s="808"/>
      <c r="AES889" s="808"/>
      <c r="AET889" s="808"/>
      <c r="AEU889" s="808"/>
      <c r="AEV889" s="808"/>
      <c r="AEW889" s="808"/>
      <c r="AEX889" s="808"/>
      <c r="AEY889" s="808"/>
      <c r="AEZ889" s="808"/>
      <c r="AFA889" s="808"/>
      <c r="AFB889" s="808"/>
      <c r="AFC889" s="808"/>
      <c r="AFD889" s="808"/>
      <c r="AFE889" s="808"/>
      <c r="AFF889" s="808"/>
      <c r="AFG889" s="808"/>
      <c r="AFH889" s="808"/>
      <c r="AFI889" s="808"/>
      <c r="AFJ889" s="808"/>
      <c r="AFK889" s="808"/>
      <c r="AFL889" s="808"/>
      <c r="AFM889" s="808"/>
      <c r="AFN889" s="808"/>
      <c r="AFO889" s="808"/>
      <c r="AFP889" s="808"/>
      <c r="AFQ889" s="808"/>
      <c r="AFR889" s="808"/>
      <c r="AFS889" s="808"/>
      <c r="AFT889" s="808"/>
      <c r="AFU889" s="808"/>
      <c r="AFV889" s="808"/>
      <c r="AFW889" s="808"/>
      <c r="AFX889" s="808"/>
      <c r="AFY889" s="808"/>
      <c r="AFZ889" s="808"/>
      <c r="AGA889" s="808"/>
      <c r="AGB889" s="808"/>
      <c r="AGC889" s="808"/>
      <c r="AGD889" s="808"/>
      <c r="AGE889" s="808"/>
      <c r="AGF889" s="808"/>
      <c r="AGG889" s="808"/>
      <c r="AGH889" s="808"/>
      <c r="AGI889" s="808"/>
      <c r="AGJ889" s="808"/>
    </row>
    <row r="890" spans="1:868" s="7" customFormat="1" hidden="1">
      <c r="A890" s="609" t="s">
        <v>118</v>
      </c>
      <c r="B890" s="59" t="s">
        <v>442</v>
      </c>
      <c r="C890" s="40" t="s">
        <v>139</v>
      </c>
      <c r="D890" s="34" t="s">
        <v>99</v>
      </c>
      <c r="E890" s="859">
        <v>5.5915505458418391E-2</v>
      </c>
      <c r="F890" s="34">
        <v>2</v>
      </c>
      <c r="G890" s="40" t="s">
        <v>429</v>
      </c>
      <c r="H890" s="29">
        <v>1</v>
      </c>
      <c r="I890" s="9">
        <v>2</v>
      </c>
      <c r="J890" s="9">
        <v>2</v>
      </c>
      <c r="K890" s="9">
        <v>1</v>
      </c>
      <c r="L890" s="9">
        <v>1</v>
      </c>
      <c r="M890" s="9">
        <v>2</v>
      </c>
      <c r="N890" s="185">
        <f t="shared" si="66"/>
        <v>0.35859414261160716</v>
      </c>
      <c r="O890" s="159">
        <f t="shared" si="65"/>
        <v>0.37356464144298934</v>
      </c>
      <c r="P890" s="63"/>
      <c r="Q890" s="808"/>
      <c r="R890" s="808"/>
      <c r="S890" s="808"/>
      <c r="T890" s="808"/>
      <c r="U890" s="808"/>
      <c r="V890" s="808"/>
      <c r="W890" s="808"/>
      <c r="X890" s="808"/>
      <c r="Y890" s="808"/>
      <c r="Z890" s="808"/>
      <c r="AA890" s="808"/>
      <c r="AB890" s="808"/>
      <c r="AC890" s="808"/>
      <c r="AD890" s="808"/>
      <c r="AE890" s="808"/>
      <c r="AF890" s="808"/>
      <c r="AG890" s="808"/>
      <c r="AH890" s="808"/>
      <c r="AI890" s="808"/>
      <c r="AJ890" s="808"/>
      <c r="AK890" s="808"/>
      <c r="AL890" s="808"/>
      <c r="AM890" s="808"/>
      <c r="AN890" s="808"/>
      <c r="AO890" s="808"/>
      <c r="AP890" s="808"/>
      <c r="AQ890" s="808"/>
      <c r="AR890" s="808"/>
      <c r="AS890" s="808"/>
      <c r="AT890" s="808"/>
      <c r="AU890" s="808"/>
      <c r="AV890" s="808"/>
      <c r="AW890" s="808"/>
      <c r="AX890" s="808"/>
      <c r="AY890" s="808"/>
      <c r="AZ890" s="808"/>
      <c r="BA890" s="808"/>
      <c r="BB890" s="808"/>
      <c r="BC890" s="808"/>
      <c r="BD890" s="808"/>
      <c r="BE890" s="808"/>
      <c r="BF890" s="808"/>
      <c r="BG890" s="808"/>
      <c r="BH890" s="808"/>
      <c r="BI890" s="808"/>
      <c r="BJ890" s="808"/>
      <c r="BK890" s="808"/>
      <c r="BL890" s="808"/>
      <c r="BM890" s="808"/>
      <c r="BN890" s="808"/>
      <c r="BO890" s="808"/>
      <c r="BP890" s="808"/>
      <c r="BQ890" s="808"/>
      <c r="BR890" s="808"/>
      <c r="BS890" s="808"/>
      <c r="BT890" s="808"/>
      <c r="BU890" s="808"/>
      <c r="BV890" s="808"/>
      <c r="BW890" s="808"/>
      <c r="BX890" s="808"/>
      <c r="BY890" s="808"/>
      <c r="BZ890" s="808"/>
      <c r="CA890" s="808"/>
      <c r="CB890" s="808"/>
      <c r="CC890" s="808"/>
      <c r="CD890" s="808"/>
      <c r="CE890" s="808"/>
      <c r="CF890" s="808"/>
      <c r="CG890" s="808"/>
      <c r="CH890" s="808"/>
      <c r="CI890" s="808"/>
      <c r="CJ890" s="808"/>
      <c r="CK890" s="808"/>
      <c r="CL890" s="808"/>
      <c r="CM890" s="808"/>
      <c r="CN890" s="808"/>
      <c r="CO890" s="808"/>
      <c r="CP890" s="808"/>
      <c r="CQ890" s="808"/>
      <c r="CR890" s="808"/>
      <c r="CS890" s="808"/>
      <c r="CT890" s="808"/>
      <c r="CU890" s="808"/>
      <c r="CV890" s="808"/>
      <c r="CW890" s="808"/>
      <c r="CX890" s="808"/>
      <c r="CY890" s="808"/>
      <c r="CZ890" s="808"/>
      <c r="DA890" s="808"/>
      <c r="DB890" s="808"/>
      <c r="DC890" s="808"/>
      <c r="DD890" s="808"/>
      <c r="DE890" s="808"/>
      <c r="DF890" s="808"/>
      <c r="DG890" s="808"/>
      <c r="DH890" s="808"/>
      <c r="DI890" s="808"/>
      <c r="DJ890" s="808"/>
      <c r="DK890" s="808"/>
      <c r="DL890" s="808"/>
      <c r="DM890" s="808"/>
      <c r="DN890" s="808"/>
      <c r="DO890" s="808"/>
      <c r="DP890" s="808"/>
      <c r="DQ890" s="808"/>
      <c r="DR890" s="808"/>
      <c r="DS890" s="808"/>
      <c r="DT890" s="808"/>
      <c r="DU890" s="808"/>
      <c r="DV890" s="808"/>
      <c r="DW890" s="808"/>
      <c r="DX890" s="808"/>
      <c r="DY890" s="808"/>
      <c r="DZ890" s="808"/>
      <c r="EA890" s="808"/>
      <c r="EB890" s="808"/>
      <c r="EC890" s="808"/>
      <c r="ED890" s="808"/>
      <c r="EE890" s="808"/>
      <c r="EF890" s="808"/>
      <c r="EG890" s="808"/>
      <c r="EH890" s="808"/>
      <c r="EI890" s="808"/>
      <c r="EJ890" s="808"/>
      <c r="EK890" s="808"/>
      <c r="EL890" s="808"/>
      <c r="EM890" s="808"/>
      <c r="EN890" s="808"/>
      <c r="EO890" s="808"/>
      <c r="EP890" s="808"/>
      <c r="EQ890" s="808"/>
      <c r="ER890" s="808"/>
      <c r="ES890" s="808"/>
      <c r="ET890" s="808"/>
      <c r="EU890" s="808"/>
      <c r="EV890" s="808"/>
      <c r="EW890" s="808"/>
      <c r="EX890" s="808"/>
      <c r="EY890" s="808"/>
      <c r="EZ890" s="808"/>
      <c r="FA890" s="808"/>
      <c r="FB890" s="808"/>
      <c r="FC890" s="808"/>
      <c r="FD890" s="808"/>
      <c r="FE890" s="808"/>
      <c r="FF890" s="808"/>
      <c r="FG890" s="808"/>
      <c r="FH890" s="808"/>
      <c r="FI890" s="808"/>
      <c r="FJ890" s="808"/>
      <c r="FK890" s="808"/>
      <c r="FL890" s="808"/>
      <c r="FM890" s="808"/>
      <c r="FN890" s="808"/>
      <c r="FO890" s="808"/>
      <c r="FP890" s="808"/>
      <c r="FQ890" s="808"/>
      <c r="FR890" s="808"/>
      <c r="FS890" s="808"/>
      <c r="FT890" s="808"/>
      <c r="FU890" s="808"/>
      <c r="FV890" s="808"/>
      <c r="FW890" s="808"/>
      <c r="FX890" s="808"/>
      <c r="FY890" s="808"/>
      <c r="FZ890" s="808"/>
      <c r="GA890" s="808"/>
      <c r="GB890" s="808"/>
      <c r="GC890" s="808"/>
      <c r="GD890" s="808"/>
      <c r="GE890" s="808"/>
      <c r="GF890" s="808"/>
      <c r="GG890" s="808"/>
      <c r="GH890" s="808"/>
      <c r="GI890" s="808"/>
      <c r="GJ890" s="808"/>
      <c r="GK890" s="808"/>
      <c r="GL890" s="808"/>
      <c r="GM890" s="808"/>
      <c r="GN890" s="808"/>
      <c r="GO890" s="808"/>
      <c r="GP890" s="808"/>
      <c r="GQ890" s="808"/>
      <c r="GR890" s="808"/>
      <c r="GS890" s="808"/>
      <c r="GT890" s="808"/>
      <c r="GU890" s="808"/>
      <c r="GV890" s="808"/>
      <c r="GW890" s="808"/>
      <c r="GX890" s="808"/>
      <c r="GY890" s="808"/>
      <c r="GZ890" s="808"/>
      <c r="HA890" s="808"/>
      <c r="HB890" s="808"/>
      <c r="HC890" s="808"/>
      <c r="HD890" s="808"/>
      <c r="HE890" s="808"/>
      <c r="HF890" s="808"/>
      <c r="HG890" s="808"/>
      <c r="HH890" s="808"/>
      <c r="HI890" s="808"/>
      <c r="HJ890" s="808"/>
      <c r="HK890" s="808"/>
      <c r="HL890" s="808"/>
      <c r="HM890" s="808"/>
      <c r="HN890" s="808"/>
      <c r="HO890" s="808"/>
      <c r="HP890" s="808"/>
      <c r="HQ890" s="808"/>
      <c r="HR890" s="808"/>
      <c r="HS890" s="808"/>
      <c r="HT890" s="808"/>
      <c r="HU890" s="808"/>
      <c r="HV890" s="808"/>
      <c r="HW890" s="808"/>
      <c r="HX890" s="808"/>
      <c r="HY890" s="808"/>
      <c r="HZ890" s="808"/>
      <c r="IA890" s="808"/>
      <c r="IB890" s="808"/>
      <c r="IC890" s="808"/>
      <c r="ID890" s="808"/>
      <c r="IE890" s="808"/>
      <c r="IF890" s="808"/>
      <c r="IG890" s="808"/>
      <c r="IH890" s="808"/>
      <c r="II890" s="808"/>
      <c r="IJ890" s="808"/>
      <c r="IK890" s="808"/>
      <c r="IL890" s="808"/>
      <c r="IM890" s="808"/>
      <c r="IN890" s="808"/>
      <c r="IO890" s="808"/>
      <c r="IP890" s="808"/>
      <c r="IQ890" s="808"/>
      <c r="IR890" s="808"/>
      <c r="IS890" s="808"/>
      <c r="IT890" s="808"/>
      <c r="IU890" s="808"/>
      <c r="IV890" s="808"/>
      <c r="IW890" s="808"/>
      <c r="IX890" s="808"/>
      <c r="IY890" s="808"/>
      <c r="IZ890" s="808"/>
      <c r="JA890" s="808"/>
      <c r="JB890" s="808"/>
      <c r="JC890" s="808"/>
      <c r="JD890" s="808"/>
      <c r="JE890" s="808"/>
      <c r="JF890" s="808"/>
      <c r="JG890" s="808"/>
      <c r="JH890" s="808"/>
      <c r="JI890" s="808"/>
      <c r="JJ890" s="808"/>
      <c r="JK890" s="808"/>
      <c r="JL890" s="808"/>
      <c r="JM890" s="808"/>
      <c r="JN890" s="808"/>
      <c r="JO890" s="808"/>
      <c r="JP890" s="808"/>
      <c r="JQ890" s="808"/>
      <c r="JR890" s="808"/>
      <c r="JS890" s="808"/>
      <c r="JT890" s="808"/>
      <c r="JU890" s="808"/>
      <c r="JV890" s="808"/>
      <c r="JW890" s="808"/>
      <c r="JX890" s="808"/>
      <c r="JY890" s="808"/>
      <c r="JZ890" s="808"/>
      <c r="KA890" s="808"/>
      <c r="KB890" s="808"/>
      <c r="KC890" s="808"/>
      <c r="KD890" s="808"/>
      <c r="KE890" s="808"/>
      <c r="KF890" s="808"/>
      <c r="KG890" s="808"/>
      <c r="KH890" s="808"/>
      <c r="KI890" s="808"/>
      <c r="KJ890" s="808"/>
      <c r="KK890" s="808"/>
      <c r="KL890" s="808"/>
      <c r="KM890" s="808"/>
      <c r="KN890" s="808"/>
      <c r="KO890" s="808"/>
      <c r="KP890" s="808"/>
      <c r="KQ890" s="808"/>
      <c r="KR890" s="808"/>
      <c r="KS890" s="808"/>
      <c r="KT890" s="808"/>
      <c r="KU890" s="808"/>
      <c r="KV890" s="808"/>
      <c r="KW890" s="808"/>
      <c r="KX890" s="808"/>
      <c r="KY890" s="808"/>
      <c r="KZ890" s="808"/>
      <c r="LA890" s="808"/>
      <c r="LB890" s="808"/>
      <c r="LC890" s="808"/>
      <c r="LD890" s="808"/>
      <c r="LE890" s="808"/>
      <c r="LF890" s="808"/>
      <c r="LG890" s="808"/>
      <c r="LH890" s="808"/>
      <c r="LI890" s="808"/>
      <c r="LJ890" s="808"/>
      <c r="LK890" s="808"/>
      <c r="LL890" s="808"/>
      <c r="LM890" s="808"/>
      <c r="LN890" s="808"/>
      <c r="LO890" s="808"/>
      <c r="LP890" s="808"/>
      <c r="LQ890" s="808"/>
      <c r="LR890" s="808"/>
      <c r="LS890" s="808"/>
      <c r="LT890" s="808"/>
      <c r="LU890" s="808"/>
      <c r="LV890" s="808"/>
      <c r="LW890" s="808"/>
      <c r="LX890" s="808"/>
      <c r="LY890" s="808"/>
      <c r="LZ890" s="808"/>
      <c r="MA890" s="808"/>
      <c r="MB890" s="808"/>
      <c r="MC890" s="808"/>
      <c r="MD890" s="808"/>
      <c r="ME890" s="808"/>
      <c r="MF890" s="808"/>
      <c r="MG890" s="808"/>
      <c r="MH890" s="808"/>
      <c r="MI890" s="808"/>
      <c r="MJ890" s="808"/>
      <c r="MK890" s="808"/>
      <c r="ML890" s="808"/>
      <c r="MM890" s="808"/>
      <c r="MN890" s="808"/>
      <c r="MO890" s="808"/>
      <c r="MP890" s="808"/>
      <c r="MQ890" s="808"/>
      <c r="MR890" s="808"/>
      <c r="MS890" s="808"/>
      <c r="MT890" s="808"/>
      <c r="MU890" s="808"/>
      <c r="MV890" s="808"/>
      <c r="MW890" s="808"/>
      <c r="MX890" s="808"/>
      <c r="MY890" s="808"/>
      <c r="MZ890" s="808"/>
      <c r="NA890" s="808"/>
      <c r="NB890" s="808"/>
      <c r="NC890" s="808"/>
      <c r="ND890" s="808"/>
      <c r="NE890" s="808"/>
      <c r="NF890" s="808"/>
      <c r="NG890" s="808"/>
      <c r="NH890" s="808"/>
      <c r="NI890" s="808"/>
      <c r="NJ890" s="808"/>
      <c r="NK890" s="808"/>
      <c r="NL890" s="808"/>
      <c r="NM890" s="808"/>
      <c r="NN890" s="808"/>
      <c r="NO890" s="808"/>
      <c r="NP890" s="808"/>
      <c r="NQ890" s="808"/>
      <c r="NR890" s="808"/>
      <c r="NS890" s="808"/>
      <c r="NT890" s="808"/>
      <c r="NU890" s="808"/>
      <c r="NV890" s="808"/>
      <c r="NW890" s="808"/>
      <c r="NX890" s="808"/>
      <c r="NY890" s="808"/>
      <c r="NZ890" s="808"/>
      <c r="OA890" s="808"/>
      <c r="OB890" s="808"/>
      <c r="OC890" s="808"/>
      <c r="OD890" s="808"/>
      <c r="OE890" s="808"/>
      <c r="OF890" s="808"/>
      <c r="OG890" s="808"/>
      <c r="OH890" s="808"/>
      <c r="OI890" s="808"/>
      <c r="OJ890" s="808"/>
      <c r="OK890" s="808"/>
      <c r="OL890" s="808"/>
      <c r="OM890" s="808"/>
      <c r="ON890" s="808"/>
      <c r="OO890" s="808"/>
      <c r="OP890" s="808"/>
      <c r="OQ890" s="808"/>
      <c r="OR890" s="808"/>
      <c r="OS890" s="808"/>
      <c r="OT890" s="808"/>
      <c r="OU890" s="808"/>
      <c r="OV890" s="808"/>
      <c r="OW890" s="808"/>
      <c r="OX890" s="808"/>
      <c r="OY890" s="808"/>
      <c r="OZ890" s="808"/>
      <c r="PA890" s="808"/>
      <c r="PB890" s="808"/>
      <c r="PC890" s="808"/>
      <c r="PD890" s="808"/>
      <c r="PE890" s="808"/>
      <c r="PF890" s="808"/>
      <c r="PG890" s="808"/>
      <c r="PH890" s="808"/>
      <c r="PI890" s="808"/>
      <c r="PJ890" s="808"/>
      <c r="PK890" s="808"/>
      <c r="PL890" s="808"/>
      <c r="PM890" s="808"/>
      <c r="PN890" s="808"/>
      <c r="PO890" s="808"/>
      <c r="PP890" s="808"/>
      <c r="PQ890" s="808"/>
      <c r="PR890" s="808"/>
      <c r="PS890" s="808"/>
      <c r="PT890" s="808"/>
      <c r="PU890" s="808"/>
      <c r="PV890" s="808"/>
      <c r="PW890" s="808"/>
      <c r="PX890" s="808"/>
      <c r="PY890" s="808"/>
      <c r="PZ890" s="808"/>
      <c r="QA890" s="808"/>
      <c r="QB890" s="808"/>
      <c r="QC890" s="808"/>
      <c r="QD890" s="808"/>
      <c r="QE890" s="808"/>
      <c r="QF890" s="808"/>
      <c r="QG890" s="808"/>
      <c r="QH890" s="808"/>
      <c r="QI890" s="808"/>
      <c r="QJ890" s="808"/>
      <c r="QK890" s="808"/>
      <c r="QL890" s="808"/>
      <c r="QM890" s="808"/>
      <c r="QN890" s="808"/>
      <c r="QO890" s="808"/>
      <c r="QP890" s="808"/>
      <c r="QQ890" s="808"/>
      <c r="QR890" s="808"/>
      <c r="QS890" s="808"/>
      <c r="QT890" s="808"/>
      <c r="QU890" s="808"/>
      <c r="QV890" s="808"/>
      <c r="QW890" s="808"/>
      <c r="QX890" s="808"/>
      <c r="QY890" s="808"/>
      <c r="QZ890" s="808"/>
      <c r="RA890" s="808"/>
      <c r="RB890" s="808"/>
      <c r="RC890" s="808"/>
      <c r="RD890" s="808"/>
      <c r="RE890" s="808"/>
      <c r="RF890" s="808"/>
      <c r="RG890" s="808"/>
      <c r="RH890" s="808"/>
      <c r="RI890" s="808"/>
      <c r="RJ890" s="808"/>
      <c r="RK890" s="808"/>
      <c r="RL890" s="808"/>
      <c r="RM890" s="808"/>
      <c r="RN890" s="808"/>
      <c r="RO890" s="808"/>
      <c r="RP890" s="808"/>
      <c r="RQ890" s="808"/>
      <c r="RR890" s="808"/>
      <c r="RS890" s="808"/>
      <c r="RT890" s="808"/>
      <c r="RU890" s="808"/>
      <c r="RV890" s="808"/>
      <c r="RW890" s="808"/>
      <c r="RX890" s="808"/>
      <c r="RY890" s="808"/>
      <c r="RZ890" s="808"/>
      <c r="SA890" s="808"/>
      <c r="SB890" s="808"/>
      <c r="SC890" s="808"/>
      <c r="SD890" s="808"/>
      <c r="SE890" s="808"/>
      <c r="SF890" s="808"/>
      <c r="SG890" s="808"/>
      <c r="SH890" s="808"/>
      <c r="SI890" s="808"/>
      <c r="SJ890" s="808"/>
      <c r="SK890" s="808"/>
      <c r="SL890" s="808"/>
      <c r="SM890" s="808"/>
      <c r="SN890" s="808"/>
      <c r="SO890" s="808"/>
      <c r="SP890" s="808"/>
      <c r="SQ890" s="808"/>
      <c r="SR890" s="808"/>
      <c r="SS890" s="808"/>
      <c r="ST890" s="808"/>
      <c r="SU890" s="808"/>
      <c r="SV890" s="808"/>
      <c r="SW890" s="808"/>
      <c r="SX890" s="808"/>
      <c r="SY890" s="808"/>
      <c r="SZ890" s="808"/>
      <c r="TA890" s="808"/>
      <c r="TB890" s="808"/>
      <c r="TC890" s="808"/>
      <c r="TD890" s="808"/>
      <c r="TE890" s="808"/>
      <c r="TF890" s="808"/>
      <c r="TG890" s="808"/>
      <c r="TH890" s="808"/>
      <c r="TI890" s="808"/>
      <c r="TJ890" s="808"/>
      <c r="TK890" s="808"/>
      <c r="TL890" s="808"/>
      <c r="TM890" s="808"/>
      <c r="TN890" s="808"/>
      <c r="TO890" s="808"/>
      <c r="TP890" s="808"/>
      <c r="TQ890" s="808"/>
      <c r="TR890" s="808"/>
      <c r="TS890" s="808"/>
      <c r="TT890" s="808"/>
      <c r="TU890" s="808"/>
      <c r="TV890" s="808"/>
      <c r="TW890" s="808"/>
      <c r="TX890" s="808"/>
      <c r="TY890" s="808"/>
      <c r="TZ890" s="808"/>
      <c r="UA890" s="808"/>
      <c r="UB890" s="808"/>
      <c r="UC890" s="808"/>
      <c r="UD890" s="808"/>
      <c r="UE890" s="808"/>
      <c r="UF890" s="808"/>
      <c r="UG890" s="808"/>
      <c r="UH890" s="808"/>
      <c r="UI890" s="808"/>
      <c r="UJ890" s="808"/>
      <c r="UK890" s="808"/>
      <c r="UL890" s="808"/>
      <c r="UM890" s="808"/>
      <c r="UN890" s="808"/>
      <c r="UO890" s="808"/>
      <c r="UP890" s="808"/>
      <c r="UQ890" s="808"/>
      <c r="UR890" s="808"/>
      <c r="US890" s="808"/>
      <c r="UT890" s="808"/>
      <c r="UU890" s="808"/>
      <c r="UV890" s="808"/>
      <c r="UW890" s="808"/>
      <c r="UX890" s="808"/>
      <c r="UY890" s="808"/>
      <c r="UZ890" s="808"/>
      <c r="VA890" s="808"/>
      <c r="VB890" s="808"/>
      <c r="VC890" s="808"/>
      <c r="VD890" s="808"/>
      <c r="VE890" s="808"/>
      <c r="VF890" s="808"/>
      <c r="VG890" s="808"/>
      <c r="VH890" s="808"/>
      <c r="VI890" s="808"/>
      <c r="VJ890" s="808"/>
      <c r="VK890" s="808"/>
      <c r="VL890" s="808"/>
      <c r="VM890" s="808"/>
      <c r="VN890" s="808"/>
      <c r="VO890" s="808"/>
      <c r="VP890" s="808"/>
      <c r="VQ890" s="808"/>
      <c r="VR890" s="808"/>
      <c r="VS890" s="808"/>
      <c r="VT890" s="808"/>
      <c r="VU890" s="808"/>
      <c r="VV890" s="808"/>
      <c r="VW890" s="808"/>
      <c r="VX890" s="808"/>
      <c r="VY890" s="808"/>
      <c r="VZ890" s="808"/>
      <c r="WA890" s="808"/>
      <c r="WB890" s="808"/>
      <c r="WC890" s="808"/>
      <c r="WD890" s="808"/>
      <c r="WE890" s="808"/>
      <c r="WF890" s="808"/>
      <c r="WG890" s="808"/>
      <c r="WH890" s="808"/>
      <c r="WI890" s="808"/>
      <c r="WJ890" s="808"/>
      <c r="WK890" s="808"/>
      <c r="WL890" s="808"/>
      <c r="WM890" s="808"/>
      <c r="WN890" s="808"/>
      <c r="WO890" s="808"/>
      <c r="WP890" s="808"/>
      <c r="WQ890" s="808"/>
      <c r="WR890" s="808"/>
      <c r="WS890" s="808"/>
      <c r="WT890" s="808"/>
      <c r="WU890" s="808"/>
      <c r="WV890" s="808"/>
      <c r="WW890" s="808"/>
      <c r="WX890" s="808"/>
      <c r="WY890" s="808"/>
      <c r="WZ890" s="808"/>
      <c r="XA890" s="808"/>
      <c r="XB890" s="808"/>
      <c r="XC890" s="808"/>
      <c r="XD890" s="808"/>
      <c r="XE890" s="808"/>
      <c r="XF890" s="808"/>
      <c r="XG890" s="808"/>
      <c r="XH890" s="808"/>
      <c r="XI890" s="808"/>
      <c r="XJ890" s="808"/>
      <c r="XK890" s="808"/>
      <c r="XL890" s="808"/>
      <c r="XM890" s="808"/>
      <c r="XN890" s="808"/>
      <c r="XO890" s="808"/>
      <c r="XP890" s="808"/>
      <c r="XQ890" s="808"/>
      <c r="XR890" s="808"/>
      <c r="XS890" s="808"/>
      <c r="XT890" s="808"/>
      <c r="XU890" s="808"/>
      <c r="XV890" s="808"/>
      <c r="XW890" s="808"/>
      <c r="XX890" s="808"/>
      <c r="XY890" s="808"/>
      <c r="XZ890" s="808"/>
      <c r="YA890" s="808"/>
      <c r="YB890" s="808"/>
      <c r="YC890" s="808"/>
      <c r="YD890" s="808"/>
      <c r="YE890" s="808"/>
      <c r="YF890" s="808"/>
      <c r="YG890" s="808"/>
      <c r="YH890" s="808"/>
      <c r="YI890" s="808"/>
      <c r="YJ890" s="808"/>
      <c r="YK890" s="808"/>
      <c r="YL890" s="808"/>
      <c r="YM890" s="808"/>
      <c r="YN890" s="808"/>
      <c r="YO890" s="808"/>
      <c r="YP890" s="808"/>
      <c r="YQ890" s="808"/>
      <c r="YR890" s="808"/>
      <c r="YS890" s="808"/>
      <c r="YT890" s="808"/>
      <c r="YU890" s="808"/>
      <c r="YV890" s="808"/>
      <c r="YW890" s="808"/>
      <c r="YX890" s="808"/>
      <c r="YY890" s="808"/>
      <c r="YZ890" s="808"/>
      <c r="ZA890" s="808"/>
      <c r="ZB890" s="808"/>
      <c r="ZC890" s="808"/>
      <c r="ZD890" s="808"/>
      <c r="ZE890" s="808"/>
      <c r="ZF890" s="808"/>
      <c r="ZG890" s="808"/>
      <c r="ZH890" s="808"/>
      <c r="ZI890" s="808"/>
      <c r="ZJ890" s="808"/>
      <c r="ZK890" s="808"/>
      <c r="ZL890" s="808"/>
      <c r="ZM890" s="808"/>
      <c r="ZN890" s="808"/>
      <c r="ZO890" s="808"/>
      <c r="ZP890" s="808"/>
      <c r="ZQ890" s="808"/>
      <c r="ZR890" s="808"/>
      <c r="ZS890" s="808"/>
      <c r="ZT890" s="808"/>
      <c r="ZU890" s="808"/>
      <c r="ZV890" s="808"/>
      <c r="ZW890" s="808"/>
      <c r="ZX890" s="808"/>
      <c r="ZY890" s="808"/>
      <c r="ZZ890" s="808"/>
      <c r="AAA890" s="808"/>
      <c r="AAB890" s="808"/>
      <c r="AAC890" s="808"/>
      <c r="AAD890" s="808"/>
      <c r="AAE890" s="808"/>
      <c r="AAF890" s="808"/>
      <c r="AAG890" s="808"/>
      <c r="AAH890" s="808"/>
      <c r="AAI890" s="808"/>
      <c r="AAJ890" s="808"/>
      <c r="AAK890" s="808"/>
      <c r="AAL890" s="808"/>
      <c r="AAM890" s="808"/>
      <c r="AAN890" s="808"/>
      <c r="AAO890" s="808"/>
      <c r="AAP890" s="808"/>
      <c r="AAQ890" s="808"/>
      <c r="AAR890" s="808"/>
      <c r="AAS890" s="808"/>
      <c r="AAT890" s="808"/>
      <c r="AAU890" s="808"/>
      <c r="AAV890" s="808"/>
      <c r="AAW890" s="808"/>
      <c r="AAX890" s="808"/>
      <c r="AAY890" s="808"/>
      <c r="AAZ890" s="808"/>
      <c r="ABA890" s="808"/>
      <c r="ABB890" s="808"/>
      <c r="ABC890" s="808"/>
      <c r="ABD890" s="808"/>
      <c r="ABE890" s="808"/>
      <c r="ABF890" s="808"/>
      <c r="ABG890" s="808"/>
      <c r="ABH890" s="808"/>
      <c r="ABI890" s="808"/>
      <c r="ABJ890" s="808"/>
      <c r="ABK890" s="808"/>
      <c r="ABL890" s="808"/>
      <c r="ABM890" s="808"/>
      <c r="ABN890" s="808"/>
      <c r="ABO890" s="808"/>
      <c r="ABP890" s="808"/>
      <c r="ABQ890" s="808"/>
      <c r="ABR890" s="808"/>
      <c r="ABS890" s="808"/>
      <c r="ABT890" s="808"/>
      <c r="ABU890" s="808"/>
      <c r="ABV890" s="808"/>
      <c r="ABW890" s="808"/>
      <c r="ABX890" s="808"/>
      <c r="ABY890" s="808"/>
      <c r="ABZ890" s="808"/>
      <c r="ACA890" s="808"/>
      <c r="ACB890" s="808"/>
      <c r="ACC890" s="808"/>
      <c r="ACD890" s="808"/>
      <c r="ACE890" s="808"/>
      <c r="ACF890" s="808"/>
      <c r="ACG890" s="808"/>
      <c r="ACH890" s="808"/>
      <c r="ACI890" s="808"/>
      <c r="ACJ890" s="808"/>
      <c r="ACK890" s="808"/>
      <c r="ACL890" s="808"/>
      <c r="ACM890" s="808"/>
      <c r="ACN890" s="808"/>
      <c r="ACO890" s="808"/>
      <c r="ACP890" s="808"/>
      <c r="ACQ890" s="808"/>
      <c r="ACR890" s="808"/>
      <c r="ACS890" s="808"/>
      <c r="ACT890" s="808"/>
      <c r="ACU890" s="808"/>
      <c r="ACV890" s="808"/>
      <c r="ACW890" s="808"/>
      <c r="ACX890" s="808"/>
      <c r="ACY890" s="808"/>
      <c r="ACZ890" s="808"/>
      <c r="ADA890" s="808"/>
      <c r="ADB890" s="808"/>
      <c r="ADC890" s="808"/>
      <c r="ADD890" s="808"/>
      <c r="ADE890" s="808"/>
      <c r="ADF890" s="808"/>
      <c r="ADG890" s="808"/>
      <c r="ADH890" s="808"/>
      <c r="ADI890" s="808"/>
      <c r="ADJ890" s="808"/>
      <c r="ADK890" s="808"/>
      <c r="ADL890" s="808"/>
      <c r="ADM890" s="808"/>
      <c r="ADN890" s="808"/>
      <c r="ADO890" s="808"/>
      <c r="ADP890" s="808"/>
      <c r="ADQ890" s="808"/>
      <c r="ADR890" s="808"/>
      <c r="ADS890" s="808"/>
      <c r="ADT890" s="808"/>
      <c r="ADU890" s="808"/>
      <c r="ADV890" s="808"/>
      <c r="ADW890" s="808"/>
      <c r="ADX890" s="808"/>
      <c r="ADY890" s="808"/>
      <c r="ADZ890" s="808"/>
      <c r="AEA890" s="808"/>
      <c r="AEB890" s="808"/>
      <c r="AEC890" s="808"/>
      <c r="AED890" s="808"/>
      <c r="AEE890" s="808"/>
      <c r="AEF890" s="808"/>
      <c r="AEG890" s="808"/>
      <c r="AEH890" s="808"/>
      <c r="AEI890" s="808"/>
      <c r="AEJ890" s="808"/>
      <c r="AEK890" s="808"/>
      <c r="AEL890" s="808"/>
      <c r="AEM890" s="808"/>
      <c r="AEN890" s="808"/>
      <c r="AEO890" s="808"/>
      <c r="AEP890" s="808"/>
      <c r="AEQ890" s="808"/>
      <c r="AER890" s="808"/>
      <c r="AES890" s="808"/>
      <c r="AET890" s="808"/>
      <c r="AEU890" s="808"/>
      <c r="AEV890" s="808"/>
      <c r="AEW890" s="808"/>
      <c r="AEX890" s="808"/>
      <c r="AEY890" s="808"/>
      <c r="AEZ890" s="808"/>
      <c r="AFA890" s="808"/>
      <c r="AFB890" s="808"/>
      <c r="AFC890" s="808"/>
      <c r="AFD890" s="808"/>
      <c r="AFE890" s="808"/>
      <c r="AFF890" s="808"/>
      <c r="AFG890" s="808"/>
      <c r="AFH890" s="808"/>
      <c r="AFI890" s="808"/>
      <c r="AFJ890" s="808"/>
      <c r="AFK890" s="808"/>
      <c r="AFL890" s="808"/>
      <c r="AFM890" s="808"/>
      <c r="AFN890" s="808"/>
      <c r="AFO890" s="808"/>
      <c r="AFP890" s="808"/>
      <c r="AFQ890" s="808"/>
      <c r="AFR890" s="808"/>
      <c r="AFS890" s="808"/>
      <c r="AFT890" s="808"/>
      <c r="AFU890" s="808"/>
      <c r="AFV890" s="808"/>
      <c r="AFW890" s="808"/>
      <c r="AFX890" s="808"/>
      <c r="AFY890" s="808"/>
      <c r="AFZ890" s="808"/>
      <c r="AGA890" s="808"/>
      <c r="AGB890" s="808"/>
      <c r="AGC890" s="808"/>
      <c r="AGD890" s="808"/>
      <c r="AGE890" s="808"/>
      <c r="AGF890" s="808"/>
      <c r="AGG890" s="808"/>
      <c r="AGH890" s="808"/>
      <c r="AGI890" s="808"/>
      <c r="AGJ890" s="808"/>
    </row>
    <row r="891" spans="1:868" s="808" customFormat="1" hidden="1">
      <c r="A891" s="609" t="s">
        <v>441</v>
      </c>
      <c r="B891" s="59" t="s">
        <v>443</v>
      </c>
      <c r="C891" s="40" t="s">
        <v>139</v>
      </c>
      <c r="D891" s="34" t="s">
        <v>99</v>
      </c>
      <c r="E891" s="257">
        <v>0.01</v>
      </c>
      <c r="F891" s="34">
        <v>2</v>
      </c>
      <c r="G891" s="40" t="s">
        <v>429</v>
      </c>
      <c r="H891" s="29">
        <v>1</v>
      </c>
      <c r="I891" s="9">
        <v>2</v>
      </c>
      <c r="J891" s="9">
        <v>2</v>
      </c>
      <c r="K891" s="9">
        <v>1</v>
      </c>
      <c r="L891" s="9">
        <v>1</v>
      </c>
      <c r="M891" s="9">
        <v>1</v>
      </c>
      <c r="N891" s="185">
        <f t="shared" si="66"/>
        <v>0.16933510251023262</v>
      </c>
      <c r="O891" s="159">
        <f t="shared" si="65"/>
        <v>0.19908580854301616</v>
      </c>
      <c r="P891" s="63" t="s">
        <v>843</v>
      </c>
    </row>
    <row r="892" spans="1:868" s="808" customFormat="1" hidden="1">
      <c r="A892" s="609" t="s">
        <v>441</v>
      </c>
      <c r="B892" s="59" t="s">
        <v>444</v>
      </c>
      <c r="C892" s="40" t="s">
        <v>139</v>
      </c>
      <c r="D892" s="34" t="s">
        <v>99</v>
      </c>
      <c r="E892" s="257" t="s">
        <v>150</v>
      </c>
      <c r="F892" s="34">
        <v>1</v>
      </c>
      <c r="G892" s="40" t="s">
        <v>429</v>
      </c>
      <c r="H892" s="29"/>
      <c r="I892" s="9"/>
      <c r="J892" s="9"/>
      <c r="K892" s="9"/>
      <c r="L892" s="9"/>
      <c r="M892" s="9"/>
      <c r="N892" s="185" t="str">
        <f t="shared" si="66"/>
        <v/>
      </c>
      <c r="O892" s="159" t="str">
        <f t="shared" si="65"/>
        <v/>
      </c>
      <c r="P892" s="63"/>
    </row>
    <row r="893" spans="1:868" s="808" customFormat="1" hidden="1">
      <c r="A893" s="609" t="s">
        <v>443</v>
      </c>
      <c r="B893" s="59" t="s">
        <v>258</v>
      </c>
      <c r="C893" s="40" t="s">
        <v>139</v>
      </c>
      <c r="D893" s="34" t="s">
        <v>99</v>
      </c>
      <c r="E893" s="257">
        <v>1</v>
      </c>
      <c r="F893" s="34">
        <v>2</v>
      </c>
      <c r="G893" s="40" t="s">
        <v>429</v>
      </c>
      <c r="H893" s="29">
        <v>1</v>
      </c>
      <c r="I893" s="9">
        <v>2</v>
      </c>
      <c r="J893" s="9">
        <v>2</v>
      </c>
      <c r="K893" s="9">
        <v>1</v>
      </c>
      <c r="L893" s="9">
        <v>1</v>
      </c>
      <c r="M893" s="9">
        <v>1</v>
      </c>
      <c r="N893" s="185">
        <f t="shared" si="66"/>
        <v>0.16933510251023262</v>
      </c>
      <c r="O893" s="159">
        <f t="shared" si="65"/>
        <v>0.19908580854301616</v>
      </c>
      <c r="P893" s="63" t="s">
        <v>844</v>
      </c>
    </row>
    <row r="894" spans="1:868" s="808" customFormat="1" hidden="1">
      <c r="A894" s="609" t="s">
        <v>442</v>
      </c>
      <c r="B894" s="59" t="s">
        <v>445</v>
      </c>
      <c r="C894" s="40" t="s">
        <v>139</v>
      </c>
      <c r="D894" s="34" t="s">
        <v>99</v>
      </c>
      <c r="E894" s="257">
        <v>0.01</v>
      </c>
      <c r="F894" s="34">
        <v>2</v>
      </c>
      <c r="G894" s="40" t="s">
        <v>429</v>
      </c>
      <c r="H894" s="29">
        <v>1</v>
      </c>
      <c r="I894" s="9">
        <v>2</v>
      </c>
      <c r="J894" s="9">
        <v>2</v>
      </c>
      <c r="K894" s="9">
        <v>1</v>
      </c>
      <c r="L894" s="9">
        <v>1</v>
      </c>
      <c r="M894" s="9">
        <v>1</v>
      </c>
      <c r="N894" s="185">
        <f t="shared" si="66"/>
        <v>0.16933510251023262</v>
      </c>
      <c r="O894" s="159">
        <f t="shared" si="65"/>
        <v>0.19908580854301616</v>
      </c>
      <c r="P894" s="63" t="s">
        <v>845</v>
      </c>
    </row>
    <row r="895" spans="1:868" s="808" customFormat="1" hidden="1">
      <c r="A895" s="609" t="s">
        <v>442</v>
      </c>
      <c r="B895" s="59" t="s">
        <v>446</v>
      </c>
      <c r="C895" s="40" t="s">
        <v>139</v>
      </c>
      <c r="D895" s="34" t="s">
        <v>99</v>
      </c>
      <c r="E895" s="257" t="s">
        <v>150</v>
      </c>
      <c r="F895" s="34">
        <v>1</v>
      </c>
      <c r="G895" s="40" t="s">
        <v>429</v>
      </c>
      <c r="H895" s="29"/>
      <c r="I895" s="9"/>
      <c r="J895" s="9"/>
      <c r="K895" s="9"/>
      <c r="L895" s="9"/>
      <c r="M895" s="9"/>
      <c r="N895" s="185" t="str">
        <f t="shared" si="66"/>
        <v/>
      </c>
      <c r="O895" s="159" t="str">
        <f t="shared" si="65"/>
        <v/>
      </c>
      <c r="P895" s="63"/>
    </row>
    <row r="896" spans="1:868" s="808" customFormat="1" hidden="1">
      <c r="A896" s="609" t="s">
        <v>445</v>
      </c>
      <c r="B896" s="59" t="s">
        <v>258</v>
      </c>
      <c r="C896" s="40" t="s">
        <v>139</v>
      </c>
      <c r="D896" s="34" t="s">
        <v>99</v>
      </c>
      <c r="E896" s="257">
        <v>1</v>
      </c>
      <c r="F896" s="34">
        <v>2</v>
      </c>
      <c r="G896" s="40" t="s">
        <v>429</v>
      </c>
      <c r="H896" s="29">
        <v>1</v>
      </c>
      <c r="I896" s="9">
        <v>2</v>
      </c>
      <c r="J896" s="9">
        <v>2</v>
      </c>
      <c r="K896" s="9">
        <v>1</v>
      </c>
      <c r="L896" s="9">
        <v>1</v>
      </c>
      <c r="M896" s="9">
        <v>1</v>
      </c>
      <c r="N896" s="185">
        <f t="shared" si="66"/>
        <v>0.16933510251023262</v>
      </c>
      <c r="O896" s="159">
        <f t="shared" si="65"/>
        <v>0.19908580854301616</v>
      </c>
      <c r="P896" s="63" t="s">
        <v>844</v>
      </c>
    </row>
    <row r="897" spans="1:18" s="808" customFormat="1" hidden="1">
      <c r="A897" s="609" t="s">
        <v>444</v>
      </c>
      <c r="B897" s="59" t="s">
        <v>258</v>
      </c>
      <c r="C897" s="40" t="s">
        <v>139</v>
      </c>
      <c r="D897" s="34" t="s">
        <v>99</v>
      </c>
      <c r="E897" s="257">
        <v>0.01</v>
      </c>
      <c r="F897" s="34">
        <v>2</v>
      </c>
      <c r="G897" s="40" t="s">
        <v>429</v>
      </c>
      <c r="H897" s="29">
        <v>1</v>
      </c>
      <c r="I897" s="9">
        <v>2</v>
      </c>
      <c r="J897" s="9">
        <v>2</v>
      </c>
      <c r="K897" s="9">
        <v>1</v>
      </c>
      <c r="L897" s="9">
        <v>1</v>
      </c>
      <c r="M897" s="9">
        <v>1</v>
      </c>
      <c r="N897" s="185">
        <f t="shared" si="66"/>
        <v>0.16933510251023262</v>
      </c>
      <c r="O897" s="159">
        <f t="shared" ref="O897:O928" si="67">IF( OR( ISBLANK(I897),ISBLANK(J897), ISBLANK(K897), ISBLANK(L897), ISBLANK(M897) ), "", 1.5*SQRT( EXP(2.21*(I897-1)) + EXP(2.21*(J897-1)) + EXP(2.21*(K897-1)) + EXP(2.21*(L897-1)) + EXP(2.21*M897)   )/100*2.45 )</f>
        <v>0.19908580854301616</v>
      </c>
      <c r="P897" s="63" t="s">
        <v>846</v>
      </c>
    </row>
    <row r="898" spans="1:18" s="808" customFormat="1" hidden="1">
      <c r="A898" s="609" t="s">
        <v>444</v>
      </c>
      <c r="B898" s="59" t="s">
        <v>333</v>
      </c>
      <c r="C898" s="40" t="s">
        <v>139</v>
      </c>
      <c r="D898" s="34" t="s">
        <v>99</v>
      </c>
      <c r="E898" s="257" t="s">
        <v>150</v>
      </c>
      <c r="F898" s="34">
        <v>1</v>
      </c>
      <c r="G898" s="40" t="s">
        <v>429</v>
      </c>
      <c r="H898" s="29"/>
      <c r="I898" s="9"/>
      <c r="J898" s="9"/>
      <c r="K898" s="9"/>
      <c r="L898" s="9"/>
      <c r="M898" s="9"/>
      <c r="N898" s="185" t="str">
        <f t="shared" si="66"/>
        <v/>
      </c>
      <c r="O898" s="159" t="str">
        <f t="shared" si="67"/>
        <v/>
      </c>
      <c r="P898" s="63"/>
    </row>
    <row r="899" spans="1:18" s="808" customFormat="1" hidden="1">
      <c r="A899" s="609" t="s">
        <v>446</v>
      </c>
      <c r="B899" s="59" t="s">
        <v>258</v>
      </c>
      <c r="C899" s="40" t="s">
        <v>139</v>
      </c>
      <c r="D899" s="34" t="s">
        <v>99</v>
      </c>
      <c r="E899" s="257">
        <v>0.05</v>
      </c>
      <c r="F899" s="34">
        <v>2</v>
      </c>
      <c r="G899" s="40" t="s">
        <v>429</v>
      </c>
      <c r="H899" s="29">
        <v>1</v>
      </c>
      <c r="I899" s="9">
        <v>2</v>
      </c>
      <c r="J899" s="9">
        <v>2</v>
      </c>
      <c r="K899" s="9">
        <v>1</v>
      </c>
      <c r="L899" s="9">
        <v>1</v>
      </c>
      <c r="M899" s="9">
        <v>1</v>
      </c>
      <c r="N899" s="185">
        <f t="shared" si="66"/>
        <v>0.16933510251023262</v>
      </c>
      <c r="O899" s="159">
        <f t="shared" si="67"/>
        <v>0.19908580854301616</v>
      </c>
      <c r="P899" s="63" t="s">
        <v>847</v>
      </c>
    </row>
    <row r="900" spans="1:18" s="808" customFormat="1" hidden="1">
      <c r="A900" s="609" t="s">
        <v>446</v>
      </c>
      <c r="B900" s="59" t="s">
        <v>333</v>
      </c>
      <c r="C900" s="40" t="s">
        <v>139</v>
      </c>
      <c r="D900" s="34" t="s">
        <v>99</v>
      </c>
      <c r="E900" s="257" t="s">
        <v>150</v>
      </c>
      <c r="F900" s="34">
        <v>1</v>
      </c>
      <c r="G900" s="40" t="s">
        <v>429</v>
      </c>
      <c r="H900" s="29"/>
      <c r="I900" s="9"/>
      <c r="J900" s="9"/>
      <c r="K900" s="9"/>
      <c r="L900" s="9"/>
      <c r="M900" s="9"/>
      <c r="N900" s="185" t="str">
        <f t="shared" si="66"/>
        <v/>
      </c>
      <c r="O900" s="159" t="str">
        <f t="shared" si="67"/>
        <v/>
      </c>
      <c r="P900" s="63"/>
    </row>
    <row r="901" spans="1:18" s="808" customFormat="1" hidden="1">
      <c r="A901" s="609" t="s">
        <v>428</v>
      </c>
      <c r="B901" s="59" t="s">
        <v>448</v>
      </c>
      <c r="C901" s="40" t="s">
        <v>139</v>
      </c>
      <c r="D901" s="34" t="s">
        <v>99</v>
      </c>
      <c r="E901" s="257">
        <f>0.5*0.97</f>
        <v>0.48499999999999999</v>
      </c>
      <c r="F901" s="34">
        <v>2</v>
      </c>
      <c r="G901" s="40" t="s">
        <v>429</v>
      </c>
      <c r="H901" s="29">
        <v>1</v>
      </c>
      <c r="I901" s="9">
        <v>2</v>
      </c>
      <c r="J901" s="9">
        <v>2</v>
      </c>
      <c r="K901" s="9">
        <v>1</v>
      </c>
      <c r="L901" s="9">
        <v>1</v>
      </c>
      <c r="M901" s="9">
        <v>1</v>
      </c>
      <c r="N901" s="185">
        <f t="shared" si="66"/>
        <v>0.16933510251023262</v>
      </c>
      <c r="O901" s="159">
        <f t="shared" si="67"/>
        <v>0.19908580854301616</v>
      </c>
      <c r="P901" s="63" t="s">
        <v>848</v>
      </c>
    </row>
    <row r="902" spans="1:18" s="808" customFormat="1" hidden="1">
      <c r="A902" s="609" t="s">
        <v>428</v>
      </c>
      <c r="B902" s="59" t="s">
        <v>449</v>
      </c>
      <c r="C902" s="40" t="s">
        <v>139</v>
      </c>
      <c r="D902" s="34" t="s">
        <v>99</v>
      </c>
      <c r="E902" s="257">
        <f>0.5*0.97</f>
        <v>0.48499999999999999</v>
      </c>
      <c r="F902" s="34">
        <v>2</v>
      </c>
      <c r="G902" s="40" t="s">
        <v>429</v>
      </c>
      <c r="H902" s="29">
        <v>1</v>
      </c>
      <c r="I902" s="9">
        <v>2</v>
      </c>
      <c r="J902" s="9">
        <v>2</v>
      </c>
      <c r="K902" s="9">
        <v>1</v>
      </c>
      <c r="L902" s="9">
        <v>1</v>
      </c>
      <c r="M902" s="9">
        <v>1</v>
      </c>
      <c r="N902" s="185">
        <f t="shared" si="66"/>
        <v>0.16933510251023262</v>
      </c>
      <c r="O902" s="159">
        <f t="shared" si="67"/>
        <v>0.19908580854301616</v>
      </c>
      <c r="P902" s="63" t="s">
        <v>849</v>
      </c>
    </row>
    <row r="903" spans="1:18" s="808" customFormat="1" hidden="1">
      <c r="A903" s="609" t="s">
        <v>428</v>
      </c>
      <c r="B903" s="59" t="s">
        <v>223</v>
      </c>
      <c r="C903" s="40" t="s">
        <v>139</v>
      </c>
      <c r="D903" s="34" t="s">
        <v>99</v>
      </c>
      <c r="E903" s="257">
        <v>0.03</v>
      </c>
      <c r="F903" s="34">
        <v>1</v>
      </c>
      <c r="G903" s="40" t="s">
        <v>429</v>
      </c>
      <c r="H903" s="29">
        <v>1</v>
      </c>
      <c r="I903" s="9">
        <v>2</v>
      </c>
      <c r="J903" s="9">
        <v>2</v>
      </c>
      <c r="K903" s="9">
        <v>1</v>
      </c>
      <c r="L903" s="9">
        <v>1</v>
      </c>
      <c r="M903" s="9">
        <v>1</v>
      </c>
      <c r="N903" s="185">
        <f t="shared" si="66"/>
        <v>0.16933510251023262</v>
      </c>
      <c r="O903" s="159">
        <f t="shared" si="67"/>
        <v>0.19908580854301616</v>
      </c>
      <c r="P903" s="63" t="s">
        <v>850</v>
      </c>
    </row>
    <row r="904" spans="1:18" s="808" customFormat="1" hidden="1">
      <c r="A904" s="609" t="s">
        <v>448</v>
      </c>
      <c r="B904" s="59" t="s">
        <v>451</v>
      </c>
      <c r="C904" s="40" t="s">
        <v>139</v>
      </c>
      <c r="D904" s="34" t="s">
        <v>99</v>
      </c>
      <c r="E904" s="257">
        <v>0.03</v>
      </c>
      <c r="F904" s="34">
        <v>2</v>
      </c>
      <c r="G904" s="40" t="s">
        <v>429</v>
      </c>
      <c r="H904" s="29">
        <v>1</v>
      </c>
      <c r="I904" s="9">
        <v>2</v>
      </c>
      <c r="J904" s="9">
        <v>2</v>
      </c>
      <c r="K904" s="9">
        <v>1</v>
      </c>
      <c r="L904" s="9">
        <v>1</v>
      </c>
      <c r="M904" s="9">
        <v>1</v>
      </c>
      <c r="N904" s="185">
        <f t="shared" si="66"/>
        <v>0.16933510251023262</v>
      </c>
      <c r="O904" s="159">
        <f t="shared" si="67"/>
        <v>0.19908580854301616</v>
      </c>
      <c r="P904" s="63" t="s">
        <v>851</v>
      </c>
    </row>
    <row r="905" spans="1:18" s="808" customFormat="1" hidden="1">
      <c r="A905" s="609" t="s">
        <v>448</v>
      </c>
      <c r="B905" s="59" t="s">
        <v>450</v>
      </c>
      <c r="C905" s="40" t="s">
        <v>139</v>
      </c>
      <c r="D905" s="34" t="s">
        <v>99</v>
      </c>
      <c r="E905" s="257" t="s">
        <v>150</v>
      </c>
      <c r="F905" s="34">
        <v>1</v>
      </c>
      <c r="G905" s="40" t="s">
        <v>429</v>
      </c>
      <c r="H905" s="29"/>
      <c r="I905" s="9"/>
      <c r="J905" s="9"/>
      <c r="K905" s="9"/>
      <c r="L905" s="9"/>
      <c r="M905" s="9"/>
      <c r="N905" s="185" t="str">
        <f t="shared" si="66"/>
        <v/>
      </c>
      <c r="O905" s="159" t="str">
        <f t="shared" si="67"/>
        <v/>
      </c>
      <c r="P905" s="63"/>
    </row>
    <row r="906" spans="1:18" s="808" customFormat="1" hidden="1">
      <c r="A906" s="609" t="s">
        <v>451</v>
      </c>
      <c r="B906" s="59" t="s">
        <v>231</v>
      </c>
      <c r="C906" s="40" t="s">
        <v>139</v>
      </c>
      <c r="D906" s="34" t="s">
        <v>99</v>
      </c>
      <c r="E906" s="257">
        <v>0.05</v>
      </c>
      <c r="F906" s="34">
        <v>2</v>
      </c>
      <c r="G906" s="40" t="s">
        <v>157</v>
      </c>
      <c r="H906" s="29">
        <v>1</v>
      </c>
      <c r="I906" s="9">
        <v>2</v>
      </c>
      <c r="J906" s="9">
        <v>2</v>
      </c>
      <c r="K906" s="9">
        <v>1</v>
      </c>
      <c r="L906" s="9">
        <v>3</v>
      </c>
      <c r="M906" s="9">
        <v>3</v>
      </c>
      <c r="N906" s="185">
        <f t="shared" si="66"/>
        <v>1.0725046436742278</v>
      </c>
      <c r="O906" s="159">
        <f t="shared" si="67"/>
        <v>1.0776024280428556</v>
      </c>
      <c r="P906" s="63" t="s">
        <v>1933</v>
      </c>
      <c r="R906" s="836"/>
    </row>
    <row r="907" spans="1:18" s="808" customFormat="1" hidden="1">
      <c r="A907" s="609" t="s">
        <v>451</v>
      </c>
      <c r="B907" s="59" t="s">
        <v>232</v>
      </c>
      <c r="C907" s="40" t="s">
        <v>139</v>
      </c>
      <c r="D907" s="34" t="s">
        <v>99</v>
      </c>
      <c r="E907" s="257">
        <v>0.39400000000000002</v>
      </c>
      <c r="F907" s="34">
        <v>2</v>
      </c>
      <c r="G907" s="40" t="s">
        <v>429</v>
      </c>
      <c r="H907" s="29">
        <v>1</v>
      </c>
      <c r="I907" s="9">
        <v>2</v>
      </c>
      <c r="J907" s="9">
        <v>2</v>
      </c>
      <c r="K907" s="9">
        <v>1</v>
      </c>
      <c r="L907" s="9">
        <v>1</v>
      </c>
      <c r="M907" s="9">
        <v>1</v>
      </c>
      <c r="N907" s="185">
        <f t="shared" si="66"/>
        <v>0.16933510251023262</v>
      </c>
      <c r="O907" s="159">
        <f t="shared" si="67"/>
        <v>0.19908580854301616</v>
      </c>
      <c r="P907" s="63" t="s">
        <v>1957</v>
      </c>
    </row>
    <row r="908" spans="1:18" s="808" customFormat="1" hidden="1">
      <c r="A908" s="609" t="s">
        <v>451</v>
      </c>
      <c r="B908" s="59" t="s">
        <v>251</v>
      </c>
      <c r="C908" s="40" t="s">
        <v>139</v>
      </c>
      <c r="D908" s="34" t="s">
        <v>99</v>
      </c>
      <c r="E908" s="257">
        <v>0.52200000000000002</v>
      </c>
      <c r="F908" s="34">
        <v>1</v>
      </c>
      <c r="G908" s="40" t="s">
        <v>429</v>
      </c>
      <c r="H908" s="29">
        <v>1</v>
      </c>
      <c r="I908" s="9">
        <v>2</v>
      </c>
      <c r="J908" s="9">
        <v>2</v>
      </c>
      <c r="K908" s="9">
        <v>1</v>
      </c>
      <c r="L908" s="9">
        <v>1</v>
      </c>
      <c r="M908" s="9">
        <v>1</v>
      </c>
      <c r="N908" s="185">
        <f t="shared" si="66"/>
        <v>0.16933510251023262</v>
      </c>
      <c r="O908" s="159">
        <f t="shared" si="67"/>
        <v>0.19908580854301616</v>
      </c>
      <c r="P908" s="63" t="s">
        <v>1958</v>
      </c>
    </row>
    <row r="909" spans="1:18" s="808" customFormat="1" hidden="1">
      <c r="A909" s="609" t="s">
        <v>451</v>
      </c>
      <c r="B909" s="59" t="s">
        <v>258</v>
      </c>
      <c r="C909" s="40" t="s">
        <v>139</v>
      </c>
      <c r="D909" s="34" t="s">
        <v>99</v>
      </c>
      <c r="E909" s="257">
        <v>3.4000000000000002E-2</v>
      </c>
      <c r="F909" s="34">
        <v>2</v>
      </c>
      <c r="G909" s="40" t="s">
        <v>429</v>
      </c>
      <c r="H909" s="29">
        <v>1</v>
      </c>
      <c r="I909" s="9">
        <v>2</v>
      </c>
      <c r="J909" s="9">
        <v>2</v>
      </c>
      <c r="K909" s="9">
        <v>1</v>
      </c>
      <c r="L909" s="9">
        <v>1</v>
      </c>
      <c r="M909" s="9">
        <v>1</v>
      </c>
      <c r="N909" s="185">
        <f t="shared" si="66"/>
        <v>0.16933510251023262</v>
      </c>
      <c r="O909" s="159">
        <f t="shared" si="67"/>
        <v>0.19908580854301616</v>
      </c>
      <c r="P909" s="63" t="s">
        <v>1959</v>
      </c>
    </row>
    <row r="910" spans="1:18" s="808" customFormat="1" hidden="1">
      <c r="A910" s="609" t="s">
        <v>449</v>
      </c>
      <c r="B910" s="59" t="s">
        <v>452</v>
      </c>
      <c r="C910" s="40" t="s">
        <v>139</v>
      </c>
      <c r="D910" s="34" t="s">
        <v>99</v>
      </c>
      <c r="E910" s="257">
        <f>0.1*E904</f>
        <v>3.0000000000000001E-3</v>
      </c>
      <c r="F910" s="34">
        <v>2</v>
      </c>
      <c r="G910" s="40" t="s">
        <v>429</v>
      </c>
      <c r="H910" s="29">
        <v>1</v>
      </c>
      <c r="I910" s="9">
        <v>2</v>
      </c>
      <c r="J910" s="9">
        <v>2</v>
      </c>
      <c r="K910" s="9">
        <v>1</v>
      </c>
      <c r="L910" s="9">
        <v>1</v>
      </c>
      <c r="M910" s="9">
        <v>1</v>
      </c>
      <c r="N910" s="185">
        <f t="shared" si="66"/>
        <v>0.16933510251023262</v>
      </c>
      <c r="O910" s="159">
        <f t="shared" si="67"/>
        <v>0.19908580854301616</v>
      </c>
      <c r="P910" s="63" t="s">
        <v>852</v>
      </c>
    </row>
    <row r="911" spans="1:18" s="808" customFormat="1" hidden="1">
      <c r="A911" s="609" t="s">
        <v>449</v>
      </c>
      <c r="B911" s="59" t="s">
        <v>447</v>
      </c>
      <c r="C911" s="40" t="s">
        <v>139</v>
      </c>
      <c r="D911" s="34" t="s">
        <v>99</v>
      </c>
      <c r="E911" s="257" t="s">
        <v>150</v>
      </c>
      <c r="F911" s="34">
        <v>1</v>
      </c>
      <c r="G911" s="40" t="s">
        <v>429</v>
      </c>
      <c r="H911" s="29"/>
      <c r="I911" s="9"/>
      <c r="J911" s="9"/>
      <c r="K911" s="9"/>
      <c r="L911" s="9"/>
      <c r="M911" s="9"/>
      <c r="N911" s="185" t="str">
        <f t="shared" ref="N911:N942" si="68">IF( OR( ISBLANK(H911),ISBLANK(J911), ISBLANK(K911), ISBLANK(L911), ISBLANK(M911) ), "", 1.5*SQRT(   EXP(2.21*(H911-1)) + EXP(2.21*(J911-1)) + EXP(2.21*(K911-1)) + EXP(2.21*(L911-1)) + EXP(2.21*M911)   )/100*2.45 )</f>
        <v/>
      </c>
      <c r="O911" s="159" t="str">
        <f t="shared" si="67"/>
        <v/>
      </c>
      <c r="P911" s="63" t="s">
        <v>1934</v>
      </c>
    </row>
    <row r="912" spans="1:18" s="808" customFormat="1" hidden="1">
      <c r="A912" s="609" t="s">
        <v>452</v>
      </c>
      <c r="B912" s="59" t="s">
        <v>228</v>
      </c>
      <c r="C912" s="40" t="s">
        <v>139</v>
      </c>
      <c r="D912" s="34" t="s">
        <v>99</v>
      </c>
      <c r="E912" s="257">
        <v>1</v>
      </c>
      <c r="F912" s="34">
        <v>2</v>
      </c>
      <c r="G912" s="40" t="s">
        <v>429</v>
      </c>
      <c r="H912" s="29">
        <v>1</v>
      </c>
      <c r="I912" s="9">
        <v>2</v>
      </c>
      <c r="J912" s="9">
        <v>2</v>
      </c>
      <c r="K912" s="9">
        <v>1</v>
      </c>
      <c r="L912" s="9">
        <v>1</v>
      </c>
      <c r="M912" s="9">
        <v>1</v>
      </c>
      <c r="N912" s="185">
        <f t="shared" si="68"/>
        <v>0.16933510251023262</v>
      </c>
      <c r="O912" s="159">
        <f t="shared" si="67"/>
        <v>0.19908580854301616</v>
      </c>
      <c r="P912" s="63" t="s">
        <v>853</v>
      </c>
    </row>
    <row r="913" spans="1:16" s="808" customFormat="1" hidden="1">
      <c r="A913" s="609" t="s">
        <v>450</v>
      </c>
      <c r="B913" s="59" t="s">
        <v>231</v>
      </c>
      <c r="C913" s="40" t="s">
        <v>139</v>
      </c>
      <c r="D913" s="34" t="s">
        <v>99</v>
      </c>
      <c r="E913" s="257">
        <v>0</v>
      </c>
      <c r="F913" s="34">
        <v>2</v>
      </c>
      <c r="G913" s="40" t="s">
        <v>429</v>
      </c>
      <c r="H913" s="29">
        <v>1</v>
      </c>
      <c r="I913" s="9">
        <v>2</v>
      </c>
      <c r="J913" s="9">
        <v>2</v>
      </c>
      <c r="K913" s="9">
        <v>1</v>
      </c>
      <c r="L913" s="9">
        <v>1</v>
      </c>
      <c r="M913" s="9">
        <v>1</v>
      </c>
      <c r="N913" s="185">
        <f t="shared" si="68"/>
        <v>0.16933510251023262</v>
      </c>
      <c r="O913" s="159">
        <f t="shared" si="67"/>
        <v>0.19908580854301616</v>
      </c>
      <c r="P913" s="63" t="s">
        <v>1975</v>
      </c>
    </row>
    <row r="914" spans="1:16" s="808" customFormat="1" hidden="1">
      <c r="A914" s="609" t="s">
        <v>450</v>
      </c>
      <c r="B914" s="59" t="s">
        <v>232</v>
      </c>
      <c r="C914" s="40" t="s">
        <v>139</v>
      </c>
      <c r="D914" s="34" t="s">
        <v>99</v>
      </c>
      <c r="E914" s="257">
        <v>0</v>
      </c>
      <c r="F914" s="34">
        <v>2</v>
      </c>
      <c r="G914" s="40" t="s">
        <v>429</v>
      </c>
      <c r="H914" s="29">
        <v>1</v>
      </c>
      <c r="I914" s="9">
        <v>2</v>
      </c>
      <c r="J914" s="9">
        <v>2</v>
      </c>
      <c r="K914" s="9">
        <v>1</v>
      </c>
      <c r="L914" s="9">
        <v>1</v>
      </c>
      <c r="M914" s="9">
        <v>1</v>
      </c>
      <c r="N914" s="185">
        <f t="shared" si="68"/>
        <v>0.16933510251023262</v>
      </c>
      <c r="O914" s="159">
        <f t="shared" si="67"/>
        <v>0.19908580854301616</v>
      </c>
      <c r="P914" s="63" t="s">
        <v>1975</v>
      </c>
    </row>
    <row r="915" spans="1:16" s="808" customFormat="1" hidden="1">
      <c r="A915" s="609" t="s">
        <v>450</v>
      </c>
      <c r="B915" s="59" t="s">
        <v>251</v>
      </c>
      <c r="C915" s="40" t="s">
        <v>139</v>
      </c>
      <c r="D915" s="34" t="s">
        <v>99</v>
      </c>
      <c r="E915" s="257">
        <v>0</v>
      </c>
      <c r="F915" s="34">
        <v>2</v>
      </c>
      <c r="G915" s="40" t="s">
        <v>429</v>
      </c>
      <c r="H915" s="29">
        <v>1</v>
      </c>
      <c r="I915" s="9">
        <v>2</v>
      </c>
      <c r="J915" s="9">
        <v>2</v>
      </c>
      <c r="K915" s="9">
        <v>1</v>
      </c>
      <c r="L915" s="9">
        <v>1</v>
      </c>
      <c r="M915" s="9">
        <v>1</v>
      </c>
      <c r="N915" s="185">
        <f t="shared" si="68"/>
        <v>0.16933510251023262</v>
      </c>
      <c r="O915" s="159">
        <f t="shared" si="67"/>
        <v>0.19908580854301616</v>
      </c>
      <c r="P915" s="63" t="s">
        <v>1975</v>
      </c>
    </row>
    <row r="916" spans="1:16" s="808" customFormat="1" hidden="1">
      <c r="A916" s="609" t="s">
        <v>450</v>
      </c>
      <c r="B916" s="59" t="s">
        <v>258</v>
      </c>
      <c r="C916" s="40" t="s">
        <v>139</v>
      </c>
      <c r="D916" s="34" t="s">
        <v>99</v>
      </c>
      <c r="E916" s="257">
        <v>0</v>
      </c>
      <c r="F916" s="34">
        <v>2</v>
      </c>
      <c r="G916" s="40" t="s">
        <v>429</v>
      </c>
      <c r="H916" s="29">
        <v>1</v>
      </c>
      <c r="I916" s="9">
        <v>2</v>
      </c>
      <c r="J916" s="9">
        <v>2</v>
      </c>
      <c r="K916" s="9">
        <v>1</v>
      </c>
      <c r="L916" s="9">
        <v>1</v>
      </c>
      <c r="M916" s="9">
        <v>1</v>
      </c>
      <c r="N916" s="185">
        <f t="shared" si="68"/>
        <v>0.16933510251023262</v>
      </c>
      <c r="O916" s="159">
        <f t="shared" si="67"/>
        <v>0.19908580854301616</v>
      </c>
      <c r="P916" s="63" t="s">
        <v>1975</v>
      </c>
    </row>
    <row r="917" spans="1:16" s="808" customFormat="1" hidden="1">
      <c r="A917" s="609" t="s">
        <v>450</v>
      </c>
      <c r="B917" s="59" t="s">
        <v>333</v>
      </c>
      <c r="C917" s="40" t="s">
        <v>139</v>
      </c>
      <c r="D917" s="34" t="s">
        <v>99</v>
      </c>
      <c r="E917" s="257" t="s">
        <v>150</v>
      </c>
      <c r="F917" s="34">
        <v>1</v>
      </c>
      <c r="G917" s="40" t="s">
        <v>429</v>
      </c>
      <c r="H917" s="29"/>
      <c r="I917" s="9"/>
      <c r="J917" s="9"/>
      <c r="K917" s="9"/>
      <c r="L917" s="9"/>
      <c r="M917" s="9"/>
      <c r="N917" s="185" t="str">
        <f t="shared" si="68"/>
        <v/>
      </c>
      <c r="O917" s="159" t="str">
        <f t="shared" si="67"/>
        <v/>
      </c>
      <c r="P917" s="63"/>
    </row>
    <row r="918" spans="1:16" s="808" customFormat="1" hidden="1">
      <c r="A918" s="609" t="s">
        <v>447</v>
      </c>
      <c r="B918" s="59" t="s">
        <v>228</v>
      </c>
      <c r="C918" s="40" t="s">
        <v>139</v>
      </c>
      <c r="D918" s="34" t="s">
        <v>99</v>
      </c>
      <c r="E918" s="257">
        <v>0</v>
      </c>
      <c r="F918" s="34">
        <v>2</v>
      </c>
      <c r="G918" s="40" t="s">
        <v>429</v>
      </c>
      <c r="H918" s="29">
        <v>1</v>
      </c>
      <c r="I918" s="9">
        <v>2</v>
      </c>
      <c r="J918" s="9">
        <v>2</v>
      </c>
      <c r="K918" s="9">
        <v>1</v>
      </c>
      <c r="L918" s="9">
        <v>1</v>
      </c>
      <c r="M918" s="9">
        <v>1</v>
      </c>
      <c r="N918" s="185">
        <f t="shared" si="68"/>
        <v>0.16933510251023262</v>
      </c>
      <c r="O918" s="159">
        <f t="shared" si="67"/>
        <v>0.19908580854301616</v>
      </c>
      <c r="P918" s="63" t="s">
        <v>854</v>
      </c>
    </row>
    <row r="919" spans="1:16" s="808" customFormat="1" hidden="1">
      <c r="A919" s="609" t="s">
        <v>447</v>
      </c>
      <c r="B919" s="59" t="s">
        <v>333</v>
      </c>
      <c r="C919" s="40" t="s">
        <v>139</v>
      </c>
      <c r="D919" s="34" t="s">
        <v>99</v>
      </c>
      <c r="E919" s="257" t="s">
        <v>150</v>
      </c>
      <c r="F919" s="34">
        <v>1</v>
      </c>
      <c r="G919" s="40" t="s">
        <v>429</v>
      </c>
      <c r="H919" s="29"/>
      <c r="I919" s="9"/>
      <c r="J919" s="9"/>
      <c r="K919" s="9"/>
      <c r="L919" s="9"/>
      <c r="M919" s="9"/>
      <c r="N919" s="185" t="str">
        <f t="shared" si="68"/>
        <v/>
      </c>
      <c r="O919" s="159" t="str">
        <f t="shared" si="67"/>
        <v/>
      </c>
      <c r="P919" s="63" t="s">
        <v>1935</v>
      </c>
    </row>
    <row r="920" spans="1:16" s="808" customFormat="1" hidden="1">
      <c r="A920" s="609" t="s">
        <v>430</v>
      </c>
      <c r="B920" s="59" t="s">
        <v>453</v>
      </c>
      <c r="C920" s="40" t="s">
        <v>139</v>
      </c>
      <c r="D920" s="34" t="s">
        <v>99</v>
      </c>
      <c r="E920" s="257">
        <f>0.97*0.4</f>
        <v>0.38800000000000001</v>
      </c>
      <c r="F920" s="34">
        <v>2</v>
      </c>
      <c r="G920" s="40" t="s">
        <v>429</v>
      </c>
      <c r="H920" s="29">
        <v>1</v>
      </c>
      <c r="I920" s="9">
        <v>2</v>
      </c>
      <c r="J920" s="9">
        <v>2</v>
      </c>
      <c r="K920" s="9">
        <v>1</v>
      </c>
      <c r="L920" s="9">
        <v>1</v>
      </c>
      <c r="M920" s="9">
        <v>1</v>
      </c>
      <c r="N920" s="185">
        <f t="shared" si="68"/>
        <v>0.16933510251023262</v>
      </c>
      <c r="O920" s="159">
        <f t="shared" si="67"/>
        <v>0.19908580854301616</v>
      </c>
      <c r="P920" s="63" t="s">
        <v>855</v>
      </c>
    </row>
    <row r="921" spans="1:16" s="808" customFormat="1" hidden="1">
      <c r="A921" s="609" t="s">
        <v>430</v>
      </c>
      <c r="B921" s="59" t="s">
        <v>454</v>
      </c>
      <c r="C921" s="40" t="s">
        <v>139</v>
      </c>
      <c r="D921" s="34" t="s">
        <v>99</v>
      </c>
      <c r="E921" s="257">
        <f>0.97*0.6</f>
        <v>0.58199999999999996</v>
      </c>
      <c r="F921" s="34">
        <v>2</v>
      </c>
      <c r="G921" s="40" t="s">
        <v>429</v>
      </c>
      <c r="H921" s="29">
        <v>1</v>
      </c>
      <c r="I921" s="9">
        <v>2</v>
      </c>
      <c r="J921" s="9">
        <v>2</v>
      </c>
      <c r="K921" s="9">
        <v>1</v>
      </c>
      <c r="L921" s="9">
        <v>1</v>
      </c>
      <c r="M921" s="9">
        <v>1</v>
      </c>
      <c r="N921" s="185">
        <f t="shared" si="68"/>
        <v>0.16933510251023262</v>
      </c>
      <c r="O921" s="159">
        <f t="shared" si="67"/>
        <v>0.19908580854301616</v>
      </c>
      <c r="P921" s="63" t="s">
        <v>856</v>
      </c>
    </row>
    <row r="922" spans="1:16" s="808" customFormat="1" hidden="1">
      <c r="A922" s="609" t="s">
        <v>430</v>
      </c>
      <c r="B922" s="59" t="s">
        <v>223</v>
      </c>
      <c r="C922" s="40" t="s">
        <v>139</v>
      </c>
      <c r="D922" s="34" t="s">
        <v>99</v>
      </c>
      <c r="E922" s="935" t="s">
        <v>150</v>
      </c>
      <c r="F922" s="34">
        <v>1</v>
      </c>
      <c r="G922" s="40" t="s">
        <v>429</v>
      </c>
      <c r="H922" s="29">
        <v>1</v>
      </c>
      <c r="I922" s="9">
        <v>2</v>
      </c>
      <c r="J922" s="9">
        <v>2</v>
      </c>
      <c r="K922" s="9">
        <v>1</v>
      </c>
      <c r="L922" s="9">
        <v>1</v>
      </c>
      <c r="M922" s="9">
        <v>1</v>
      </c>
      <c r="N922" s="185">
        <f t="shared" si="68"/>
        <v>0.16933510251023262</v>
      </c>
      <c r="O922" s="159">
        <f t="shared" si="67"/>
        <v>0.19908580854301616</v>
      </c>
      <c r="P922" s="63" t="s">
        <v>850</v>
      </c>
    </row>
    <row r="923" spans="1:16" s="808" customFormat="1" hidden="1">
      <c r="A923" s="609" t="s">
        <v>453</v>
      </c>
      <c r="B923" s="59" t="s">
        <v>455</v>
      </c>
      <c r="C923" s="40" t="s">
        <v>139</v>
      </c>
      <c r="D923" s="34" t="s">
        <v>99</v>
      </c>
      <c r="E923" s="257">
        <v>0.03</v>
      </c>
      <c r="F923" s="34">
        <v>2</v>
      </c>
      <c r="G923" s="40" t="s">
        <v>429</v>
      </c>
      <c r="H923" s="29">
        <v>1</v>
      </c>
      <c r="I923" s="9">
        <v>2</v>
      </c>
      <c r="J923" s="9">
        <v>2</v>
      </c>
      <c r="K923" s="9">
        <v>1</v>
      </c>
      <c r="L923" s="9">
        <v>1</v>
      </c>
      <c r="M923" s="9">
        <v>1</v>
      </c>
      <c r="N923" s="185">
        <f t="shared" si="68"/>
        <v>0.16933510251023262</v>
      </c>
      <c r="O923" s="159">
        <f t="shared" si="67"/>
        <v>0.19908580854301616</v>
      </c>
      <c r="P923" s="63" t="s">
        <v>851</v>
      </c>
    </row>
    <row r="924" spans="1:16" s="808" customFormat="1" hidden="1">
      <c r="A924" s="609" t="s">
        <v>453</v>
      </c>
      <c r="B924" s="59" t="s">
        <v>456</v>
      </c>
      <c r="C924" s="40" t="s">
        <v>139</v>
      </c>
      <c r="D924" s="34" t="s">
        <v>99</v>
      </c>
      <c r="E924" s="257" t="s">
        <v>150</v>
      </c>
      <c r="F924" s="34">
        <v>1</v>
      </c>
      <c r="G924" s="40" t="s">
        <v>429</v>
      </c>
      <c r="H924" s="29"/>
      <c r="I924" s="9"/>
      <c r="J924" s="9"/>
      <c r="K924" s="9"/>
      <c r="L924" s="9"/>
      <c r="M924" s="9"/>
      <c r="N924" s="185" t="str">
        <f t="shared" si="68"/>
        <v/>
      </c>
      <c r="O924" s="159" t="str">
        <f t="shared" si="67"/>
        <v/>
      </c>
      <c r="P924" s="63" t="s">
        <v>1936</v>
      </c>
    </row>
    <row r="925" spans="1:16" s="808" customFormat="1" hidden="1">
      <c r="A925" s="609" t="s">
        <v>455</v>
      </c>
      <c r="B925" s="59" t="s">
        <v>231</v>
      </c>
      <c r="C925" s="40" t="s">
        <v>139</v>
      </c>
      <c r="D925" s="34" t="s">
        <v>99</v>
      </c>
      <c r="E925" s="257">
        <v>0.05</v>
      </c>
      <c r="F925" s="34">
        <v>2</v>
      </c>
      <c r="G925" s="40" t="s">
        <v>157</v>
      </c>
      <c r="H925" s="29">
        <v>1</v>
      </c>
      <c r="I925" s="9">
        <v>2</v>
      </c>
      <c r="J925" s="9">
        <v>2</v>
      </c>
      <c r="K925" s="9">
        <v>1</v>
      </c>
      <c r="L925" s="9">
        <v>3</v>
      </c>
      <c r="M925" s="9">
        <v>3</v>
      </c>
      <c r="N925" s="185">
        <f t="shared" si="68"/>
        <v>1.0725046436742278</v>
      </c>
      <c r="O925" s="159">
        <f t="shared" si="67"/>
        <v>1.0776024280428556</v>
      </c>
      <c r="P925" s="63" t="s">
        <v>1933</v>
      </c>
    </row>
    <row r="926" spans="1:16" s="808" customFormat="1" hidden="1">
      <c r="A926" s="609" t="s">
        <v>455</v>
      </c>
      <c r="B926" s="59" t="s">
        <v>232</v>
      </c>
      <c r="C926" s="40" t="s">
        <v>139</v>
      </c>
      <c r="D926" s="34" t="s">
        <v>99</v>
      </c>
      <c r="E926" s="257">
        <v>0.39400000000000002</v>
      </c>
      <c r="F926" s="34">
        <v>2</v>
      </c>
      <c r="G926" s="40" t="s">
        <v>429</v>
      </c>
      <c r="H926" s="29">
        <v>1</v>
      </c>
      <c r="I926" s="9">
        <v>2</v>
      </c>
      <c r="J926" s="9">
        <v>2</v>
      </c>
      <c r="K926" s="9">
        <v>1</v>
      </c>
      <c r="L926" s="9">
        <v>1</v>
      </c>
      <c r="M926" s="9">
        <v>1</v>
      </c>
      <c r="N926" s="185">
        <f t="shared" si="68"/>
        <v>0.16933510251023262</v>
      </c>
      <c r="O926" s="159">
        <f t="shared" si="67"/>
        <v>0.19908580854301616</v>
      </c>
      <c r="P926" s="63" t="s">
        <v>1957</v>
      </c>
    </row>
    <row r="927" spans="1:16" s="808" customFormat="1" hidden="1">
      <c r="A927" s="609" t="s">
        <v>455</v>
      </c>
      <c r="B927" s="59" t="s">
        <v>251</v>
      </c>
      <c r="C927" s="40" t="s">
        <v>139</v>
      </c>
      <c r="D927" s="34" t="s">
        <v>99</v>
      </c>
      <c r="E927" s="257">
        <v>0.52200000000000002</v>
      </c>
      <c r="F927" s="34">
        <v>1</v>
      </c>
      <c r="G927" s="40" t="s">
        <v>429</v>
      </c>
      <c r="H927" s="29">
        <v>1</v>
      </c>
      <c r="I927" s="9">
        <v>2</v>
      </c>
      <c r="J927" s="9">
        <v>2</v>
      </c>
      <c r="K927" s="9">
        <v>1</v>
      </c>
      <c r="L927" s="9">
        <v>1</v>
      </c>
      <c r="M927" s="9">
        <v>1</v>
      </c>
      <c r="N927" s="185">
        <f t="shared" si="68"/>
        <v>0.16933510251023262</v>
      </c>
      <c r="O927" s="159">
        <f t="shared" si="67"/>
        <v>0.19908580854301616</v>
      </c>
      <c r="P927" s="63" t="s">
        <v>1958</v>
      </c>
    </row>
    <row r="928" spans="1:16" s="808" customFormat="1" hidden="1">
      <c r="A928" s="609" t="s">
        <v>455</v>
      </c>
      <c r="B928" s="59" t="s">
        <v>258</v>
      </c>
      <c r="C928" s="40" t="s">
        <v>139</v>
      </c>
      <c r="D928" s="34" t="s">
        <v>99</v>
      </c>
      <c r="E928" s="257">
        <v>3.4000000000000002E-2</v>
      </c>
      <c r="F928" s="34">
        <v>2</v>
      </c>
      <c r="G928" s="40" t="s">
        <v>429</v>
      </c>
      <c r="H928" s="29">
        <v>1</v>
      </c>
      <c r="I928" s="9">
        <v>2</v>
      </c>
      <c r="J928" s="9">
        <v>2</v>
      </c>
      <c r="K928" s="9">
        <v>1</v>
      </c>
      <c r="L928" s="9">
        <v>1</v>
      </c>
      <c r="M928" s="9">
        <v>1</v>
      </c>
      <c r="N928" s="185">
        <f t="shared" si="68"/>
        <v>0.16933510251023262</v>
      </c>
      <c r="O928" s="159">
        <f t="shared" si="67"/>
        <v>0.19908580854301616</v>
      </c>
      <c r="P928" s="63" t="s">
        <v>1959</v>
      </c>
    </row>
    <row r="929" spans="1:16" s="808" customFormat="1" hidden="1">
      <c r="A929" s="609" t="s">
        <v>454</v>
      </c>
      <c r="B929" s="59" t="s">
        <v>457</v>
      </c>
      <c r="C929" s="40" t="s">
        <v>139</v>
      </c>
      <c r="D929" s="34" t="s">
        <v>99</v>
      </c>
      <c r="E929" s="257">
        <f>0.1*E923</f>
        <v>3.0000000000000001E-3</v>
      </c>
      <c r="F929" s="34">
        <v>2</v>
      </c>
      <c r="G929" s="40" t="s">
        <v>429</v>
      </c>
      <c r="H929" s="29">
        <v>1</v>
      </c>
      <c r="I929" s="9">
        <v>2</v>
      </c>
      <c r="J929" s="9">
        <v>2</v>
      </c>
      <c r="K929" s="9">
        <v>1</v>
      </c>
      <c r="L929" s="9">
        <v>1</v>
      </c>
      <c r="M929" s="9">
        <v>1</v>
      </c>
      <c r="N929" s="185">
        <f t="shared" si="68"/>
        <v>0.16933510251023262</v>
      </c>
      <c r="O929" s="159">
        <f t="shared" ref="O929:O965" si="69">IF( OR( ISBLANK(I929),ISBLANK(J929), ISBLANK(K929), ISBLANK(L929), ISBLANK(M929) ), "", 1.5*SQRT( EXP(2.21*(I929-1)) + EXP(2.21*(J929-1)) + EXP(2.21*(K929-1)) + EXP(2.21*(L929-1)) + EXP(2.21*M929)   )/100*2.45 )</f>
        <v>0.19908580854301616</v>
      </c>
      <c r="P929" s="63" t="s">
        <v>852</v>
      </c>
    </row>
    <row r="930" spans="1:16" s="808" customFormat="1" hidden="1">
      <c r="A930" s="609" t="s">
        <v>454</v>
      </c>
      <c r="B930" s="59" t="s">
        <v>458</v>
      </c>
      <c r="C930" s="40" t="s">
        <v>139</v>
      </c>
      <c r="D930" s="34" t="s">
        <v>99</v>
      </c>
      <c r="E930" s="257" t="s">
        <v>150</v>
      </c>
      <c r="F930" s="34">
        <v>1</v>
      </c>
      <c r="G930" s="40" t="s">
        <v>429</v>
      </c>
      <c r="H930" s="29"/>
      <c r="I930" s="9"/>
      <c r="J930" s="9"/>
      <c r="K930" s="9"/>
      <c r="L930" s="9"/>
      <c r="M930" s="9"/>
      <c r="N930" s="185" t="str">
        <f t="shared" si="68"/>
        <v/>
      </c>
      <c r="O930" s="159" t="str">
        <f t="shared" si="69"/>
        <v/>
      </c>
      <c r="P930" s="63" t="s">
        <v>1936</v>
      </c>
    </row>
    <row r="931" spans="1:16" s="808" customFormat="1" hidden="1">
      <c r="A931" s="609" t="s">
        <v>457</v>
      </c>
      <c r="B931" s="59" t="s">
        <v>228</v>
      </c>
      <c r="C931" s="40" t="s">
        <v>139</v>
      </c>
      <c r="D931" s="34" t="s">
        <v>99</v>
      </c>
      <c r="E931" s="257">
        <v>1</v>
      </c>
      <c r="F931" s="34">
        <v>2</v>
      </c>
      <c r="G931" s="40" t="s">
        <v>429</v>
      </c>
      <c r="H931" s="29">
        <v>1</v>
      </c>
      <c r="I931" s="9">
        <v>2</v>
      </c>
      <c r="J931" s="9">
        <v>2</v>
      </c>
      <c r="K931" s="9">
        <v>1</v>
      </c>
      <c r="L931" s="9">
        <v>1</v>
      </c>
      <c r="M931" s="9">
        <v>1</v>
      </c>
      <c r="N931" s="185">
        <f t="shared" si="68"/>
        <v>0.16933510251023262</v>
      </c>
      <c r="O931" s="159">
        <f t="shared" si="69"/>
        <v>0.19908580854301616</v>
      </c>
      <c r="P931" s="63" t="s">
        <v>853</v>
      </c>
    </row>
    <row r="932" spans="1:16" s="808" customFormat="1" hidden="1">
      <c r="A932" s="609" t="s">
        <v>456</v>
      </c>
      <c r="B932" s="59" t="s">
        <v>231</v>
      </c>
      <c r="C932" s="40" t="s">
        <v>139</v>
      </c>
      <c r="D932" s="34" t="s">
        <v>99</v>
      </c>
      <c r="E932" s="257">
        <v>1.6000000000000001E-3</v>
      </c>
      <c r="F932" s="34">
        <v>2</v>
      </c>
      <c r="G932" s="40" t="s">
        <v>1993</v>
      </c>
      <c r="H932" s="29">
        <v>1</v>
      </c>
      <c r="I932" s="9">
        <v>2</v>
      </c>
      <c r="J932" s="9">
        <v>2</v>
      </c>
      <c r="K932" s="9">
        <v>1</v>
      </c>
      <c r="L932" s="9">
        <v>3</v>
      </c>
      <c r="M932" s="9">
        <v>3</v>
      </c>
      <c r="N932" s="185">
        <f t="shared" si="68"/>
        <v>1.0725046436742278</v>
      </c>
      <c r="O932" s="159">
        <f t="shared" si="69"/>
        <v>1.0776024280428556</v>
      </c>
      <c r="P932" s="63" t="s">
        <v>1972</v>
      </c>
    </row>
    <row r="933" spans="1:16" s="808" customFormat="1" hidden="1">
      <c r="A933" s="609" t="s">
        <v>456</v>
      </c>
      <c r="B933" s="59" t="s">
        <v>232</v>
      </c>
      <c r="C933" s="40" t="s">
        <v>139</v>
      </c>
      <c r="D933" s="34" t="s">
        <v>99</v>
      </c>
      <c r="E933" s="257">
        <v>1.26E-2</v>
      </c>
      <c r="F933" s="34">
        <v>2</v>
      </c>
      <c r="G933" s="40" t="s">
        <v>429</v>
      </c>
      <c r="H933" s="29">
        <v>1</v>
      </c>
      <c r="I933" s="9">
        <v>2</v>
      </c>
      <c r="J933" s="9">
        <v>2</v>
      </c>
      <c r="K933" s="9">
        <v>1</v>
      </c>
      <c r="L933" s="9">
        <v>1</v>
      </c>
      <c r="M933" s="9">
        <v>1</v>
      </c>
      <c r="N933" s="185">
        <f t="shared" si="68"/>
        <v>0.16933510251023262</v>
      </c>
      <c r="O933" s="159">
        <f t="shared" si="69"/>
        <v>0.19908580854301616</v>
      </c>
      <c r="P933" s="63" t="s">
        <v>1973</v>
      </c>
    </row>
    <row r="934" spans="1:16" s="808" customFormat="1" hidden="1">
      <c r="A934" s="609" t="s">
        <v>456</v>
      </c>
      <c r="B934" s="59" t="s">
        <v>251</v>
      </c>
      <c r="C934" s="40" t="s">
        <v>139</v>
      </c>
      <c r="D934" s="34" t="s">
        <v>99</v>
      </c>
      <c r="E934" s="257">
        <v>1.67E-2</v>
      </c>
      <c r="F934" s="34">
        <v>2</v>
      </c>
      <c r="G934" s="40" t="s">
        <v>429</v>
      </c>
      <c r="H934" s="29">
        <v>1</v>
      </c>
      <c r="I934" s="9">
        <v>2</v>
      </c>
      <c r="J934" s="9">
        <v>2</v>
      </c>
      <c r="K934" s="9">
        <v>1</v>
      </c>
      <c r="L934" s="9">
        <v>1</v>
      </c>
      <c r="M934" s="9">
        <v>1</v>
      </c>
      <c r="N934" s="185">
        <f t="shared" si="68"/>
        <v>0.16933510251023262</v>
      </c>
      <c r="O934" s="159">
        <f t="shared" si="69"/>
        <v>0.19908580854301616</v>
      </c>
      <c r="P934" s="63" t="s">
        <v>1977</v>
      </c>
    </row>
    <row r="935" spans="1:16" s="808" customFormat="1" hidden="1">
      <c r="A935" s="609" t="s">
        <v>456</v>
      </c>
      <c r="B935" s="59" t="s">
        <v>258</v>
      </c>
      <c r="C935" s="40" t="s">
        <v>139</v>
      </c>
      <c r="D935" s="34" t="s">
        <v>99</v>
      </c>
      <c r="E935" s="257">
        <v>1.1000000000000001E-3</v>
      </c>
      <c r="F935" s="34">
        <v>2</v>
      </c>
      <c r="G935" s="40" t="s">
        <v>429</v>
      </c>
      <c r="H935" s="29">
        <v>1</v>
      </c>
      <c r="I935" s="9">
        <v>2</v>
      </c>
      <c r="J935" s="9">
        <v>2</v>
      </c>
      <c r="K935" s="9">
        <v>1</v>
      </c>
      <c r="L935" s="9">
        <v>1</v>
      </c>
      <c r="M935" s="9">
        <v>1</v>
      </c>
      <c r="N935" s="185">
        <f t="shared" si="68"/>
        <v>0.16933510251023262</v>
      </c>
      <c r="O935" s="159">
        <f t="shared" si="69"/>
        <v>0.19908580854301616</v>
      </c>
      <c r="P935" s="63" t="s">
        <v>1974</v>
      </c>
    </row>
    <row r="936" spans="1:16" s="808" customFormat="1" hidden="1">
      <c r="A936" s="609" t="s">
        <v>456</v>
      </c>
      <c r="B936" s="59" t="s">
        <v>333</v>
      </c>
      <c r="C936" s="40" t="s">
        <v>139</v>
      </c>
      <c r="D936" s="34" t="s">
        <v>99</v>
      </c>
      <c r="E936" s="257" t="s">
        <v>150</v>
      </c>
      <c r="F936" s="34">
        <v>1</v>
      </c>
      <c r="G936" s="40" t="s">
        <v>429</v>
      </c>
      <c r="H936" s="29"/>
      <c r="I936" s="9"/>
      <c r="J936" s="9"/>
      <c r="K936" s="9"/>
      <c r="L936" s="9"/>
      <c r="M936" s="9"/>
      <c r="N936" s="185" t="str">
        <f t="shared" si="68"/>
        <v/>
      </c>
      <c r="O936" s="159" t="str">
        <f t="shared" si="69"/>
        <v/>
      </c>
      <c r="P936" s="63"/>
    </row>
    <row r="937" spans="1:16" s="808" customFormat="1" hidden="1">
      <c r="A937" s="609" t="s">
        <v>458</v>
      </c>
      <c r="B937" s="59" t="s">
        <v>228</v>
      </c>
      <c r="C937" s="40" t="s">
        <v>139</v>
      </c>
      <c r="D937" s="34" t="s">
        <v>99</v>
      </c>
      <c r="E937" s="257">
        <v>3.2000000000000001E-2</v>
      </c>
      <c r="F937" s="34">
        <v>2</v>
      </c>
      <c r="G937" s="40" t="s">
        <v>429</v>
      </c>
      <c r="H937" s="29">
        <v>1</v>
      </c>
      <c r="I937" s="9">
        <v>2</v>
      </c>
      <c r="J937" s="9">
        <v>2</v>
      </c>
      <c r="K937" s="9">
        <v>1</v>
      </c>
      <c r="L937" s="9">
        <v>1</v>
      </c>
      <c r="M937" s="9">
        <v>1</v>
      </c>
      <c r="N937" s="185">
        <f t="shared" si="68"/>
        <v>0.16933510251023262</v>
      </c>
      <c r="O937" s="159">
        <f t="shared" si="69"/>
        <v>0.19908580854301616</v>
      </c>
      <c r="P937" s="63" t="s">
        <v>857</v>
      </c>
    </row>
    <row r="938" spans="1:16" s="808" customFormat="1" hidden="1">
      <c r="A938" s="609" t="s">
        <v>458</v>
      </c>
      <c r="B938" s="59" t="s">
        <v>333</v>
      </c>
      <c r="C938" s="40" t="s">
        <v>139</v>
      </c>
      <c r="D938" s="34" t="s">
        <v>99</v>
      </c>
      <c r="E938" s="257" t="s">
        <v>150</v>
      </c>
      <c r="F938" s="34">
        <v>1</v>
      </c>
      <c r="G938" s="40" t="s">
        <v>429</v>
      </c>
      <c r="H938" s="29"/>
      <c r="I938" s="9"/>
      <c r="J938" s="9"/>
      <c r="K938" s="9"/>
      <c r="L938" s="9"/>
      <c r="M938" s="9"/>
      <c r="N938" s="185" t="str">
        <f t="shared" si="68"/>
        <v/>
      </c>
      <c r="O938" s="159" t="str">
        <f t="shared" si="69"/>
        <v/>
      </c>
      <c r="P938" s="63" t="s">
        <v>1937</v>
      </c>
    </row>
    <row r="939" spans="1:16" s="808" customFormat="1" hidden="1">
      <c r="A939" s="609" t="s">
        <v>431</v>
      </c>
      <c r="B939" s="59" t="s">
        <v>459</v>
      </c>
      <c r="C939" s="40" t="s">
        <v>139</v>
      </c>
      <c r="D939" s="34" t="s">
        <v>99</v>
      </c>
      <c r="E939" s="257">
        <f>0.97*0.25</f>
        <v>0.24249999999999999</v>
      </c>
      <c r="F939" s="34">
        <v>2</v>
      </c>
      <c r="G939" s="40" t="s">
        <v>429</v>
      </c>
      <c r="H939" s="29">
        <v>1</v>
      </c>
      <c r="I939" s="9">
        <v>2</v>
      </c>
      <c r="J939" s="9">
        <v>2</v>
      </c>
      <c r="K939" s="9">
        <v>1</v>
      </c>
      <c r="L939" s="9">
        <v>1</v>
      </c>
      <c r="M939" s="9">
        <v>1</v>
      </c>
      <c r="N939" s="185">
        <f t="shared" si="68"/>
        <v>0.16933510251023262</v>
      </c>
      <c r="O939" s="159">
        <f t="shared" si="69"/>
        <v>0.19908580854301616</v>
      </c>
      <c r="P939" s="63" t="s">
        <v>858</v>
      </c>
    </row>
    <row r="940" spans="1:16" s="808" customFormat="1" hidden="1">
      <c r="A940" s="609" t="s">
        <v>431</v>
      </c>
      <c r="B940" s="59" t="s">
        <v>460</v>
      </c>
      <c r="C940" s="40" t="s">
        <v>139</v>
      </c>
      <c r="D940" s="34" t="s">
        <v>99</v>
      </c>
      <c r="E940" s="257">
        <f>0.97*0.75</f>
        <v>0.72750000000000004</v>
      </c>
      <c r="F940" s="34">
        <v>2</v>
      </c>
      <c r="G940" s="40" t="s">
        <v>429</v>
      </c>
      <c r="H940" s="29">
        <v>1</v>
      </c>
      <c r="I940" s="9">
        <v>2</v>
      </c>
      <c r="J940" s="9">
        <v>2</v>
      </c>
      <c r="K940" s="9">
        <v>1</v>
      </c>
      <c r="L940" s="9">
        <v>1</v>
      </c>
      <c r="M940" s="9">
        <v>1</v>
      </c>
      <c r="N940" s="185">
        <f t="shared" si="68"/>
        <v>0.16933510251023262</v>
      </c>
      <c r="O940" s="159">
        <f t="shared" si="69"/>
        <v>0.19908580854301616</v>
      </c>
      <c r="P940" s="63" t="s">
        <v>859</v>
      </c>
    </row>
    <row r="941" spans="1:16" s="808" customFormat="1" hidden="1">
      <c r="A941" s="609" t="s">
        <v>431</v>
      </c>
      <c r="B941" s="59" t="s">
        <v>223</v>
      </c>
      <c r="C941" s="40" t="s">
        <v>139</v>
      </c>
      <c r="D941" s="34" t="s">
        <v>99</v>
      </c>
      <c r="E941" s="257">
        <v>0.03</v>
      </c>
      <c r="F941" s="34">
        <v>1</v>
      </c>
      <c r="G941" s="40" t="s">
        <v>429</v>
      </c>
      <c r="H941" s="29">
        <v>1</v>
      </c>
      <c r="I941" s="9">
        <v>2</v>
      </c>
      <c r="J941" s="9">
        <v>2</v>
      </c>
      <c r="K941" s="9">
        <v>1</v>
      </c>
      <c r="L941" s="9">
        <v>1</v>
      </c>
      <c r="M941" s="9">
        <v>1</v>
      </c>
      <c r="N941" s="185">
        <f t="shared" si="68"/>
        <v>0.16933510251023262</v>
      </c>
      <c r="O941" s="159">
        <f t="shared" si="69"/>
        <v>0.19908580854301616</v>
      </c>
      <c r="P941" s="63" t="s">
        <v>850</v>
      </c>
    </row>
    <row r="942" spans="1:16" s="808" customFormat="1" hidden="1">
      <c r="A942" s="609" t="s">
        <v>459</v>
      </c>
      <c r="B942" s="59" t="s">
        <v>462</v>
      </c>
      <c r="C942" s="40" t="s">
        <v>139</v>
      </c>
      <c r="D942" s="34" t="s">
        <v>99</v>
      </c>
      <c r="E942" s="257">
        <v>0.03</v>
      </c>
      <c r="F942" s="34">
        <v>2</v>
      </c>
      <c r="G942" s="40" t="s">
        <v>429</v>
      </c>
      <c r="H942" s="29">
        <v>1</v>
      </c>
      <c r="I942" s="9">
        <v>2</v>
      </c>
      <c r="J942" s="9">
        <v>2</v>
      </c>
      <c r="K942" s="9">
        <v>1</v>
      </c>
      <c r="L942" s="9">
        <v>1</v>
      </c>
      <c r="M942" s="9">
        <v>1</v>
      </c>
      <c r="N942" s="185">
        <f t="shared" si="68"/>
        <v>0.16933510251023262</v>
      </c>
      <c r="O942" s="159">
        <f t="shared" si="69"/>
        <v>0.19908580854301616</v>
      </c>
      <c r="P942" s="63" t="s">
        <v>851</v>
      </c>
    </row>
    <row r="943" spans="1:16" s="808" customFormat="1" hidden="1">
      <c r="A943" s="609" t="s">
        <v>459</v>
      </c>
      <c r="B943" s="59" t="s">
        <v>463</v>
      </c>
      <c r="C943" s="40" t="s">
        <v>139</v>
      </c>
      <c r="D943" s="34" t="s">
        <v>99</v>
      </c>
      <c r="E943" s="257" t="s">
        <v>150</v>
      </c>
      <c r="F943" s="34">
        <v>1</v>
      </c>
      <c r="G943" s="40" t="s">
        <v>429</v>
      </c>
      <c r="H943" s="29"/>
      <c r="I943" s="9"/>
      <c r="J943" s="9"/>
      <c r="K943" s="9"/>
      <c r="L943" s="9"/>
      <c r="M943" s="9"/>
      <c r="N943" s="185" t="str">
        <f t="shared" ref="N943:N965" si="70">IF( OR( ISBLANK(H943),ISBLANK(J943), ISBLANK(K943), ISBLANK(L943), ISBLANK(M943) ), "", 1.5*SQRT(   EXP(2.21*(H943-1)) + EXP(2.21*(J943-1)) + EXP(2.21*(K943-1)) + EXP(2.21*(L943-1)) + EXP(2.21*M943)   )/100*2.45 )</f>
        <v/>
      </c>
      <c r="O943" s="159" t="str">
        <f t="shared" si="69"/>
        <v/>
      </c>
      <c r="P943" s="63" t="s">
        <v>1938</v>
      </c>
    </row>
    <row r="944" spans="1:16" s="808" customFormat="1" hidden="1">
      <c r="A944" s="609" t="s">
        <v>462</v>
      </c>
      <c r="B944" s="59" t="s">
        <v>231</v>
      </c>
      <c r="C944" s="40" t="s">
        <v>139</v>
      </c>
      <c r="D944" s="34" t="s">
        <v>99</v>
      </c>
      <c r="E944" s="257">
        <v>0.05</v>
      </c>
      <c r="F944" s="34">
        <v>2</v>
      </c>
      <c r="G944" s="40" t="s">
        <v>157</v>
      </c>
      <c r="H944" s="29">
        <v>1</v>
      </c>
      <c r="I944" s="9">
        <v>2</v>
      </c>
      <c r="J944" s="9">
        <v>2</v>
      </c>
      <c r="K944" s="9">
        <v>1</v>
      </c>
      <c r="L944" s="9">
        <v>3</v>
      </c>
      <c r="M944" s="9">
        <v>3</v>
      </c>
      <c r="N944" s="185">
        <f t="shared" si="70"/>
        <v>1.0725046436742278</v>
      </c>
      <c r="O944" s="159">
        <f t="shared" si="69"/>
        <v>1.0776024280428556</v>
      </c>
      <c r="P944" s="63" t="s">
        <v>1933</v>
      </c>
    </row>
    <row r="945" spans="1:16" s="808" customFormat="1" hidden="1">
      <c r="A945" s="609" t="s">
        <v>462</v>
      </c>
      <c r="B945" s="59" t="s">
        <v>232</v>
      </c>
      <c r="C945" s="40" t="s">
        <v>139</v>
      </c>
      <c r="D945" s="34" t="s">
        <v>99</v>
      </c>
      <c r="E945" s="257">
        <v>0.39400000000000002</v>
      </c>
      <c r="F945" s="34">
        <v>2</v>
      </c>
      <c r="G945" s="40" t="s">
        <v>429</v>
      </c>
      <c r="H945" s="29">
        <v>1</v>
      </c>
      <c r="I945" s="9">
        <v>2</v>
      </c>
      <c r="J945" s="9">
        <v>2</v>
      </c>
      <c r="K945" s="9">
        <v>1</v>
      </c>
      <c r="L945" s="9">
        <v>1</v>
      </c>
      <c r="M945" s="9">
        <v>1</v>
      </c>
      <c r="N945" s="185">
        <f t="shared" si="70"/>
        <v>0.16933510251023262</v>
      </c>
      <c r="O945" s="159">
        <f t="shared" si="69"/>
        <v>0.19908580854301616</v>
      </c>
      <c r="P945" s="63" t="s">
        <v>1957</v>
      </c>
    </row>
    <row r="946" spans="1:16" s="808" customFormat="1" hidden="1">
      <c r="A946" s="609" t="s">
        <v>462</v>
      </c>
      <c r="B946" s="59" t="s">
        <v>251</v>
      </c>
      <c r="C946" s="40" t="s">
        <v>139</v>
      </c>
      <c r="D946" s="34" t="s">
        <v>99</v>
      </c>
      <c r="E946" s="257">
        <v>0.52200000000000002</v>
      </c>
      <c r="F946" s="34">
        <v>1</v>
      </c>
      <c r="G946" s="40" t="s">
        <v>429</v>
      </c>
      <c r="H946" s="29">
        <v>1</v>
      </c>
      <c r="I946" s="9">
        <v>2</v>
      </c>
      <c r="J946" s="9">
        <v>2</v>
      </c>
      <c r="K946" s="9">
        <v>1</v>
      </c>
      <c r="L946" s="9">
        <v>1</v>
      </c>
      <c r="M946" s="9">
        <v>1</v>
      </c>
      <c r="N946" s="185">
        <f t="shared" si="70"/>
        <v>0.16933510251023262</v>
      </c>
      <c r="O946" s="159">
        <f t="shared" si="69"/>
        <v>0.19908580854301616</v>
      </c>
      <c r="P946" s="63" t="s">
        <v>1958</v>
      </c>
    </row>
    <row r="947" spans="1:16" s="808" customFormat="1" hidden="1">
      <c r="A947" s="609" t="s">
        <v>462</v>
      </c>
      <c r="B947" s="59" t="s">
        <v>258</v>
      </c>
      <c r="C947" s="40" t="s">
        <v>139</v>
      </c>
      <c r="D947" s="34" t="s">
        <v>99</v>
      </c>
      <c r="E947" s="257">
        <v>3.4000000000000002E-2</v>
      </c>
      <c r="F947" s="34">
        <v>2</v>
      </c>
      <c r="G947" s="40" t="s">
        <v>429</v>
      </c>
      <c r="H947" s="29">
        <v>1</v>
      </c>
      <c r="I947" s="9">
        <v>2</v>
      </c>
      <c r="J947" s="9">
        <v>2</v>
      </c>
      <c r="K947" s="9">
        <v>1</v>
      </c>
      <c r="L947" s="9">
        <v>1</v>
      </c>
      <c r="M947" s="9">
        <v>1</v>
      </c>
      <c r="N947" s="185">
        <f t="shared" si="70"/>
        <v>0.16933510251023262</v>
      </c>
      <c r="O947" s="159">
        <f t="shared" si="69"/>
        <v>0.19908580854301616</v>
      </c>
      <c r="P947" s="63" t="s">
        <v>1959</v>
      </c>
    </row>
    <row r="948" spans="1:16" s="808" customFormat="1" hidden="1">
      <c r="A948" s="609" t="s">
        <v>460</v>
      </c>
      <c r="B948" s="59" t="s">
        <v>464</v>
      </c>
      <c r="C948" s="40" t="s">
        <v>139</v>
      </c>
      <c r="D948" s="34" t="s">
        <v>99</v>
      </c>
      <c r="E948" s="257">
        <f>0.1*E942</f>
        <v>3.0000000000000001E-3</v>
      </c>
      <c r="F948" s="34">
        <v>2</v>
      </c>
      <c r="G948" s="40" t="s">
        <v>429</v>
      </c>
      <c r="H948" s="29">
        <v>1</v>
      </c>
      <c r="I948" s="9">
        <v>2</v>
      </c>
      <c r="J948" s="9">
        <v>2</v>
      </c>
      <c r="K948" s="9">
        <v>1</v>
      </c>
      <c r="L948" s="9">
        <v>1</v>
      </c>
      <c r="M948" s="9">
        <v>1</v>
      </c>
      <c r="N948" s="185">
        <f t="shared" si="70"/>
        <v>0.16933510251023262</v>
      </c>
      <c r="O948" s="159">
        <f t="shared" si="69"/>
        <v>0.19908580854301616</v>
      </c>
      <c r="P948" s="63" t="s">
        <v>852</v>
      </c>
    </row>
    <row r="949" spans="1:16" s="808" customFormat="1" hidden="1">
      <c r="A949" s="609" t="s">
        <v>460</v>
      </c>
      <c r="B949" s="59" t="s">
        <v>465</v>
      </c>
      <c r="C949" s="40" t="s">
        <v>139</v>
      </c>
      <c r="D949" s="34" t="s">
        <v>99</v>
      </c>
      <c r="E949" s="257" t="s">
        <v>150</v>
      </c>
      <c r="F949" s="34">
        <v>1</v>
      </c>
      <c r="G949" s="40" t="s">
        <v>429</v>
      </c>
      <c r="H949" s="29"/>
      <c r="I949" s="9"/>
      <c r="J949" s="9"/>
      <c r="K949" s="9"/>
      <c r="L949" s="9"/>
      <c r="M949" s="9"/>
      <c r="N949" s="185" t="str">
        <f t="shared" si="70"/>
        <v/>
      </c>
      <c r="O949" s="159" t="str">
        <f t="shared" si="69"/>
        <v/>
      </c>
      <c r="P949" s="63" t="s">
        <v>1938</v>
      </c>
    </row>
    <row r="950" spans="1:16" s="808" customFormat="1" hidden="1">
      <c r="A950" s="609" t="s">
        <v>464</v>
      </c>
      <c r="B950" s="59" t="s">
        <v>228</v>
      </c>
      <c r="C950" s="40" t="s">
        <v>139</v>
      </c>
      <c r="D950" s="34" t="s">
        <v>99</v>
      </c>
      <c r="E950" s="257">
        <v>1</v>
      </c>
      <c r="F950" s="34">
        <v>2</v>
      </c>
      <c r="G950" s="40" t="s">
        <v>429</v>
      </c>
      <c r="H950" s="29">
        <v>1</v>
      </c>
      <c r="I950" s="9">
        <v>2</v>
      </c>
      <c r="J950" s="9">
        <v>2</v>
      </c>
      <c r="K950" s="9">
        <v>1</v>
      </c>
      <c r="L950" s="9">
        <v>1</v>
      </c>
      <c r="M950" s="9">
        <v>1</v>
      </c>
      <c r="N950" s="185">
        <f t="shared" si="70"/>
        <v>0.16933510251023262</v>
      </c>
      <c r="O950" s="159">
        <f t="shared" si="69"/>
        <v>0.19908580854301616</v>
      </c>
      <c r="P950" s="63" t="s">
        <v>853</v>
      </c>
    </row>
    <row r="951" spans="1:16" s="808" customFormat="1" hidden="1">
      <c r="A951" s="609" t="s">
        <v>463</v>
      </c>
      <c r="B951" s="59" t="s">
        <v>231</v>
      </c>
      <c r="C951" s="40" t="s">
        <v>139</v>
      </c>
      <c r="D951" s="34" t="s">
        <v>99</v>
      </c>
      <c r="E951" s="257">
        <v>1.6000000000000001E-3</v>
      </c>
      <c r="F951" s="34">
        <v>2</v>
      </c>
      <c r="G951" s="40" t="s">
        <v>1993</v>
      </c>
      <c r="H951" s="29">
        <v>1</v>
      </c>
      <c r="I951" s="9">
        <v>2</v>
      </c>
      <c r="J951" s="9">
        <v>2</v>
      </c>
      <c r="K951" s="9">
        <v>1</v>
      </c>
      <c r="L951" s="9">
        <v>3</v>
      </c>
      <c r="M951" s="9">
        <v>3</v>
      </c>
      <c r="N951" s="185">
        <f t="shared" si="70"/>
        <v>1.0725046436742278</v>
      </c>
      <c r="O951" s="159">
        <f t="shared" si="69"/>
        <v>1.0776024280428556</v>
      </c>
      <c r="P951" s="63" t="s">
        <v>1966</v>
      </c>
    </row>
    <row r="952" spans="1:16" s="808" customFormat="1" hidden="1">
      <c r="A952" s="609" t="s">
        <v>463</v>
      </c>
      <c r="B952" s="59" t="s">
        <v>232</v>
      </c>
      <c r="C952" s="40" t="s">
        <v>139</v>
      </c>
      <c r="D952" s="34" t="s">
        <v>99</v>
      </c>
      <c r="E952" s="257">
        <v>1.26E-2</v>
      </c>
      <c r="F952" s="34">
        <v>2</v>
      </c>
      <c r="G952" s="40" t="s">
        <v>429</v>
      </c>
      <c r="H952" s="29">
        <v>1</v>
      </c>
      <c r="I952" s="9">
        <v>2</v>
      </c>
      <c r="J952" s="9">
        <v>2</v>
      </c>
      <c r="K952" s="9">
        <v>1</v>
      </c>
      <c r="L952" s="9">
        <v>1</v>
      </c>
      <c r="M952" s="9">
        <v>1</v>
      </c>
      <c r="N952" s="185">
        <f t="shared" si="70"/>
        <v>0.16933510251023262</v>
      </c>
      <c r="O952" s="159">
        <f t="shared" si="69"/>
        <v>0.19908580854301616</v>
      </c>
      <c r="P952" s="63" t="s">
        <v>1967</v>
      </c>
    </row>
    <row r="953" spans="1:16" s="808" customFormat="1" hidden="1">
      <c r="A953" s="609" t="s">
        <v>463</v>
      </c>
      <c r="B953" s="59" t="s">
        <v>251</v>
      </c>
      <c r="C953" s="40" t="s">
        <v>139</v>
      </c>
      <c r="D953" s="34" t="s">
        <v>99</v>
      </c>
      <c r="E953" s="257">
        <v>1.67E-2</v>
      </c>
      <c r="F953" s="34">
        <v>2</v>
      </c>
      <c r="G953" s="40" t="s">
        <v>429</v>
      </c>
      <c r="H953" s="29">
        <v>1</v>
      </c>
      <c r="I953" s="9">
        <v>2</v>
      </c>
      <c r="J953" s="9">
        <v>2</v>
      </c>
      <c r="K953" s="9">
        <v>1</v>
      </c>
      <c r="L953" s="9">
        <v>1</v>
      </c>
      <c r="M953" s="9">
        <v>1</v>
      </c>
      <c r="N953" s="185">
        <f t="shared" si="70"/>
        <v>0.16933510251023262</v>
      </c>
      <c r="O953" s="159">
        <f t="shared" si="69"/>
        <v>0.19908580854301616</v>
      </c>
      <c r="P953" s="63" t="s">
        <v>1978</v>
      </c>
    </row>
    <row r="954" spans="1:16" s="808" customFormat="1" hidden="1">
      <c r="A954" s="609" t="s">
        <v>463</v>
      </c>
      <c r="B954" s="59" t="s">
        <v>258</v>
      </c>
      <c r="C954" s="40" t="s">
        <v>139</v>
      </c>
      <c r="D954" s="34" t="s">
        <v>99</v>
      </c>
      <c r="E954" s="257">
        <v>1.1000000000000001E-3</v>
      </c>
      <c r="F954" s="34">
        <v>2</v>
      </c>
      <c r="G954" s="40" t="s">
        <v>429</v>
      </c>
      <c r="H954" s="29">
        <v>1</v>
      </c>
      <c r="I954" s="9">
        <v>2</v>
      </c>
      <c r="J954" s="9">
        <v>2</v>
      </c>
      <c r="K954" s="9">
        <v>1</v>
      </c>
      <c r="L954" s="9">
        <v>1</v>
      </c>
      <c r="M954" s="9">
        <v>1</v>
      </c>
      <c r="N954" s="185">
        <f t="shared" si="70"/>
        <v>0.16933510251023262</v>
      </c>
      <c r="O954" s="159">
        <f t="shared" si="69"/>
        <v>0.19908580854301616</v>
      </c>
      <c r="P954" s="63" t="s">
        <v>1968</v>
      </c>
    </row>
    <row r="955" spans="1:16" s="808" customFormat="1" hidden="1">
      <c r="A955" s="609" t="s">
        <v>463</v>
      </c>
      <c r="B955" s="59" t="s">
        <v>333</v>
      </c>
      <c r="C955" s="40" t="s">
        <v>139</v>
      </c>
      <c r="D955" s="34" t="s">
        <v>99</v>
      </c>
      <c r="E955" s="257" t="s">
        <v>150</v>
      </c>
      <c r="F955" s="34">
        <v>1</v>
      </c>
      <c r="G955" s="40" t="s">
        <v>429</v>
      </c>
      <c r="H955" s="29"/>
      <c r="I955" s="9"/>
      <c r="J955" s="9"/>
      <c r="K955" s="9"/>
      <c r="L955" s="9"/>
      <c r="M955" s="9"/>
      <c r="N955" s="185" t="str">
        <f t="shared" si="70"/>
        <v/>
      </c>
      <c r="O955" s="159" t="str">
        <f t="shared" si="69"/>
        <v/>
      </c>
      <c r="P955" s="63"/>
    </row>
    <row r="956" spans="1:16" s="808" customFormat="1" hidden="1">
      <c r="A956" s="609" t="s">
        <v>465</v>
      </c>
      <c r="B956" s="59" t="s">
        <v>228</v>
      </c>
      <c r="C956" s="40" t="s">
        <v>139</v>
      </c>
      <c r="D956" s="34" t="s">
        <v>99</v>
      </c>
      <c r="E956" s="257">
        <v>3.2000000000000001E-2</v>
      </c>
      <c r="F956" s="34">
        <v>2</v>
      </c>
      <c r="G956" s="40" t="s">
        <v>429</v>
      </c>
      <c r="H956" s="29">
        <v>1</v>
      </c>
      <c r="I956" s="9">
        <v>2</v>
      </c>
      <c r="J956" s="9">
        <v>2</v>
      </c>
      <c r="K956" s="9">
        <v>1</v>
      </c>
      <c r="L956" s="9">
        <v>1</v>
      </c>
      <c r="M956" s="9">
        <v>1</v>
      </c>
      <c r="N956" s="185">
        <f t="shared" si="70"/>
        <v>0.16933510251023262</v>
      </c>
      <c r="O956" s="159">
        <f t="shared" si="69"/>
        <v>0.19908580854301616</v>
      </c>
      <c r="P956" s="63" t="s">
        <v>857</v>
      </c>
    </row>
    <row r="957" spans="1:16" s="808" customFormat="1" hidden="1">
      <c r="A957" s="609" t="s">
        <v>465</v>
      </c>
      <c r="B957" s="59" t="s">
        <v>333</v>
      </c>
      <c r="C957" s="40" t="s">
        <v>139</v>
      </c>
      <c r="D957" s="34" t="s">
        <v>99</v>
      </c>
      <c r="E957" s="257" t="s">
        <v>150</v>
      </c>
      <c r="F957" s="34">
        <v>1</v>
      </c>
      <c r="G957" s="40" t="s">
        <v>429</v>
      </c>
      <c r="H957" s="29"/>
      <c r="I957" s="9"/>
      <c r="J957" s="9"/>
      <c r="K957" s="9"/>
      <c r="L957" s="9"/>
      <c r="M957" s="9"/>
      <c r="N957" s="185" t="str">
        <f t="shared" si="70"/>
        <v/>
      </c>
      <c r="O957" s="159" t="str">
        <f t="shared" si="69"/>
        <v/>
      </c>
      <c r="P957" s="63" t="s">
        <v>1939</v>
      </c>
    </row>
    <row r="958" spans="1:16" s="808" customFormat="1" hidden="1">
      <c r="A958" s="609" t="s">
        <v>432</v>
      </c>
      <c r="B958" s="59" t="s">
        <v>466</v>
      </c>
      <c r="C958" s="40" t="s">
        <v>139</v>
      </c>
      <c r="D958" s="34" t="s">
        <v>99</v>
      </c>
      <c r="E958" s="257">
        <f>0.97*0.07</f>
        <v>6.7900000000000002E-2</v>
      </c>
      <c r="F958" s="34">
        <v>2</v>
      </c>
      <c r="G958" s="40" t="s">
        <v>429</v>
      </c>
      <c r="H958" s="29">
        <v>1</v>
      </c>
      <c r="I958" s="9">
        <v>2</v>
      </c>
      <c r="J958" s="9">
        <v>2</v>
      </c>
      <c r="K958" s="9">
        <v>1</v>
      </c>
      <c r="L958" s="9">
        <v>1</v>
      </c>
      <c r="M958" s="9">
        <v>1</v>
      </c>
      <c r="N958" s="185">
        <f t="shared" si="70"/>
        <v>0.16933510251023262</v>
      </c>
      <c r="O958" s="159">
        <f t="shared" si="69"/>
        <v>0.19908580854301616</v>
      </c>
      <c r="P958" s="63" t="s">
        <v>860</v>
      </c>
    </row>
    <row r="959" spans="1:16" s="808" customFormat="1" hidden="1">
      <c r="A959" s="609" t="s">
        <v>432</v>
      </c>
      <c r="B959" s="59" t="s">
        <v>467</v>
      </c>
      <c r="C959" s="40" t="s">
        <v>139</v>
      </c>
      <c r="D959" s="34" t="s">
        <v>99</v>
      </c>
      <c r="E959" s="257">
        <f>0.97*0.93</f>
        <v>0.90210000000000001</v>
      </c>
      <c r="F959" s="34">
        <v>2</v>
      </c>
      <c r="G959" s="40" t="s">
        <v>429</v>
      </c>
      <c r="H959" s="29">
        <v>1</v>
      </c>
      <c r="I959" s="9">
        <v>2</v>
      </c>
      <c r="J959" s="9">
        <v>2</v>
      </c>
      <c r="K959" s="9">
        <v>1</v>
      </c>
      <c r="L959" s="9">
        <v>1</v>
      </c>
      <c r="M959" s="9">
        <v>1</v>
      </c>
      <c r="N959" s="185">
        <f t="shared" si="70"/>
        <v>0.16933510251023262</v>
      </c>
      <c r="O959" s="159">
        <f t="shared" si="69"/>
        <v>0.19908580854301616</v>
      </c>
      <c r="P959" s="63" t="s">
        <v>861</v>
      </c>
    </row>
    <row r="960" spans="1:16" s="808" customFormat="1" hidden="1">
      <c r="A960" s="609" t="s">
        <v>432</v>
      </c>
      <c r="B960" s="59" t="s">
        <v>223</v>
      </c>
      <c r="C960" s="40" t="s">
        <v>139</v>
      </c>
      <c r="D960" s="34" t="s">
        <v>99</v>
      </c>
      <c r="E960" s="257">
        <v>0.03</v>
      </c>
      <c r="F960" s="34">
        <v>1</v>
      </c>
      <c r="G960" s="40" t="s">
        <v>429</v>
      </c>
      <c r="H960" s="29">
        <v>1</v>
      </c>
      <c r="I960" s="9">
        <v>2</v>
      </c>
      <c r="J960" s="9">
        <v>2</v>
      </c>
      <c r="K960" s="9">
        <v>1</v>
      </c>
      <c r="L960" s="9">
        <v>1</v>
      </c>
      <c r="M960" s="9">
        <v>1</v>
      </c>
      <c r="N960" s="185">
        <f t="shared" si="70"/>
        <v>0.16933510251023262</v>
      </c>
      <c r="O960" s="159">
        <f t="shared" si="69"/>
        <v>0.19908580854301616</v>
      </c>
      <c r="P960" s="63" t="s">
        <v>850</v>
      </c>
    </row>
    <row r="961" spans="1:16" s="808" customFormat="1" hidden="1">
      <c r="A961" s="609" t="s">
        <v>466</v>
      </c>
      <c r="B961" s="59" t="s">
        <v>469</v>
      </c>
      <c r="C961" s="40" t="s">
        <v>139</v>
      </c>
      <c r="D961" s="34" t="s">
        <v>99</v>
      </c>
      <c r="E961" s="257">
        <v>0.03</v>
      </c>
      <c r="F961" s="34">
        <v>2</v>
      </c>
      <c r="G961" s="40" t="s">
        <v>429</v>
      </c>
      <c r="H961" s="29">
        <v>1</v>
      </c>
      <c r="I961" s="9">
        <v>2</v>
      </c>
      <c r="J961" s="9">
        <v>2</v>
      </c>
      <c r="K961" s="9">
        <v>1</v>
      </c>
      <c r="L961" s="9">
        <v>1</v>
      </c>
      <c r="M961" s="9">
        <v>1</v>
      </c>
      <c r="N961" s="185">
        <f t="shared" si="70"/>
        <v>0.16933510251023262</v>
      </c>
      <c r="O961" s="159">
        <f t="shared" si="69"/>
        <v>0.19908580854301616</v>
      </c>
      <c r="P961" s="63" t="s">
        <v>851</v>
      </c>
    </row>
    <row r="962" spans="1:16" s="808" customFormat="1" hidden="1">
      <c r="A962" s="609" t="s">
        <v>466</v>
      </c>
      <c r="B962" s="59" t="s">
        <v>470</v>
      </c>
      <c r="C962" s="40" t="s">
        <v>139</v>
      </c>
      <c r="D962" s="34" t="s">
        <v>99</v>
      </c>
      <c r="E962" s="257" t="s">
        <v>150</v>
      </c>
      <c r="F962" s="34">
        <v>1</v>
      </c>
      <c r="G962" s="40" t="s">
        <v>429</v>
      </c>
      <c r="H962" s="29"/>
      <c r="I962" s="9"/>
      <c r="J962" s="9"/>
      <c r="K962" s="9"/>
      <c r="L962" s="9"/>
      <c r="M962" s="9"/>
      <c r="N962" s="185" t="str">
        <f t="shared" si="70"/>
        <v/>
      </c>
      <c r="O962" s="159" t="str">
        <f t="shared" si="69"/>
        <v/>
      </c>
      <c r="P962" s="63" t="s">
        <v>1940</v>
      </c>
    </row>
    <row r="963" spans="1:16" s="808" customFormat="1" hidden="1">
      <c r="A963" s="609" t="s">
        <v>469</v>
      </c>
      <c r="B963" s="59" t="s">
        <v>231</v>
      </c>
      <c r="C963" s="40" t="s">
        <v>139</v>
      </c>
      <c r="D963" s="34" t="s">
        <v>99</v>
      </c>
      <c r="E963" s="257">
        <v>0.05</v>
      </c>
      <c r="F963" s="34">
        <v>2</v>
      </c>
      <c r="G963" s="40" t="s">
        <v>157</v>
      </c>
      <c r="H963" s="29">
        <v>1</v>
      </c>
      <c r="I963" s="9">
        <v>2</v>
      </c>
      <c r="J963" s="9">
        <v>2</v>
      </c>
      <c r="K963" s="9">
        <v>1</v>
      </c>
      <c r="L963" s="9">
        <v>3</v>
      </c>
      <c r="M963" s="9">
        <v>3</v>
      </c>
      <c r="N963" s="185">
        <f t="shared" si="70"/>
        <v>1.0725046436742278</v>
      </c>
      <c r="O963" s="159">
        <f t="shared" si="69"/>
        <v>1.0776024280428556</v>
      </c>
      <c r="P963" s="63" t="s">
        <v>1933</v>
      </c>
    </row>
    <row r="964" spans="1:16" s="808" customFormat="1" hidden="1">
      <c r="A964" s="609" t="s">
        <v>469</v>
      </c>
      <c r="B964" s="59" t="s">
        <v>232</v>
      </c>
      <c r="C964" s="40" t="s">
        <v>139</v>
      </c>
      <c r="D964" s="34" t="s">
        <v>99</v>
      </c>
      <c r="E964" s="257">
        <v>0.39400000000000002</v>
      </c>
      <c r="F964" s="34">
        <v>2</v>
      </c>
      <c r="G964" s="40" t="s">
        <v>429</v>
      </c>
      <c r="H964" s="29">
        <v>1</v>
      </c>
      <c r="I964" s="9">
        <v>2</v>
      </c>
      <c r="J964" s="9">
        <v>2</v>
      </c>
      <c r="K964" s="9">
        <v>1</v>
      </c>
      <c r="L964" s="9">
        <v>1</v>
      </c>
      <c r="M964" s="9">
        <v>1</v>
      </c>
      <c r="N964" s="185">
        <f t="shared" si="70"/>
        <v>0.16933510251023262</v>
      </c>
      <c r="O964" s="159">
        <f t="shared" si="69"/>
        <v>0.19908580854301616</v>
      </c>
      <c r="P964" s="63" t="s">
        <v>1957</v>
      </c>
    </row>
    <row r="965" spans="1:16" s="808" customFormat="1" hidden="1">
      <c r="A965" s="609" t="s">
        <v>469</v>
      </c>
      <c r="B965" s="59" t="s">
        <v>251</v>
      </c>
      <c r="C965" s="40" t="s">
        <v>139</v>
      </c>
      <c r="D965" s="34" t="s">
        <v>99</v>
      </c>
      <c r="E965" s="257">
        <v>0.52200000000000002</v>
      </c>
      <c r="F965" s="34">
        <v>1</v>
      </c>
      <c r="G965" s="40" t="s">
        <v>429</v>
      </c>
      <c r="H965" s="29">
        <v>1</v>
      </c>
      <c r="I965" s="9">
        <v>2</v>
      </c>
      <c r="J965" s="9">
        <v>2</v>
      </c>
      <c r="K965" s="9">
        <v>1</v>
      </c>
      <c r="L965" s="9">
        <v>1</v>
      </c>
      <c r="M965" s="9">
        <v>1</v>
      </c>
      <c r="N965" s="185">
        <f t="shared" si="70"/>
        <v>0.16933510251023262</v>
      </c>
      <c r="O965" s="159">
        <f t="shared" si="69"/>
        <v>0.19908580854301616</v>
      </c>
      <c r="P965" s="63" t="s">
        <v>1958</v>
      </c>
    </row>
    <row r="966" spans="1:16" s="808" customFormat="1" hidden="1">
      <c r="A966" s="609" t="s">
        <v>469</v>
      </c>
      <c r="B966" s="59" t="s">
        <v>258</v>
      </c>
      <c r="C966" s="40" t="s">
        <v>139</v>
      </c>
      <c r="D966" s="34" t="s">
        <v>99</v>
      </c>
      <c r="E966" s="257">
        <v>3.4000000000000002E-2</v>
      </c>
      <c r="F966" s="34">
        <v>2</v>
      </c>
      <c r="G966" s="40" t="s">
        <v>429</v>
      </c>
      <c r="H966" s="29">
        <v>1</v>
      </c>
      <c r="I966" s="9">
        <v>2</v>
      </c>
      <c r="J966" s="9">
        <v>2</v>
      </c>
      <c r="K966" s="9">
        <v>1</v>
      </c>
      <c r="L966" s="9">
        <v>1</v>
      </c>
      <c r="M966" s="9">
        <v>1</v>
      </c>
      <c r="N966" s="185"/>
      <c r="O966" s="159"/>
      <c r="P966" s="63" t="s">
        <v>1959</v>
      </c>
    </row>
    <row r="967" spans="1:16" s="808" customFormat="1" hidden="1">
      <c r="A967" s="609" t="s">
        <v>467</v>
      </c>
      <c r="B967" s="59" t="s">
        <v>471</v>
      </c>
      <c r="C967" s="40" t="s">
        <v>139</v>
      </c>
      <c r="D967" s="34" t="s">
        <v>99</v>
      </c>
      <c r="E967" s="257">
        <f>0.1*E961</f>
        <v>3.0000000000000001E-3</v>
      </c>
      <c r="F967" s="34">
        <v>2</v>
      </c>
      <c r="G967" s="40" t="s">
        <v>429</v>
      </c>
      <c r="H967" s="29">
        <v>1</v>
      </c>
      <c r="I967" s="9">
        <v>2</v>
      </c>
      <c r="J967" s="9">
        <v>2</v>
      </c>
      <c r="K967" s="9">
        <v>1</v>
      </c>
      <c r="L967" s="9">
        <v>1</v>
      </c>
      <c r="M967" s="9">
        <v>1</v>
      </c>
      <c r="N967" s="185">
        <f t="shared" ref="N967:N984" si="71">IF( OR( ISBLANK(H967),ISBLANK(J967), ISBLANK(K967), ISBLANK(L967), ISBLANK(M967) ), "", 1.5*SQRT(   EXP(2.21*(H967-1)) + EXP(2.21*(J967-1)) + EXP(2.21*(K967-1)) + EXP(2.21*(L967-1)) + EXP(2.21*M967)   )/100*2.45 )</f>
        <v>0.16933510251023262</v>
      </c>
      <c r="O967" s="159">
        <f t="shared" ref="O967:O984" si="72">IF( OR( ISBLANK(I967),ISBLANK(J967), ISBLANK(K967), ISBLANK(L967), ISBLANK(M967) ), "", 1.5*SQRT( EXP(2.21*(I967-1)) + EXP(2.21*(J967-1)) + EXP(2.21*(K967-1)) + EXP(2.21*(L967-1)) + EXP(2.21*M967)   )/100*2.45 )</f>
        <v>0.19908580854301616</v>
      </c>
      <c r="P967" s="63" t="s">
        <v>852</v>
      </c>
    </row>
    <row r="968" spans="1:16" s="808" customFormat="1" hidden="1">
      <c r="A968" s="609" t="s">
        <v>467</v>
      </c>
      <c r="B968" s="59" t="s">
        <v>472</v>
      </c>
      <c r="C968" s="40" t="s">
        <v>139</v>
      </c>
      <c r="D968" s="34" t="s">
        <v>99</v>
      </c>
      <c r="E968" s="257" t="s">
        <v>150</v>
      </c>
      <c r="F968" s="34">
        <v>1</v>
      </c>
      <c r="G968" s="40" t="s">
        <v>429</v>
      </c>
      <c r="H968" s="29"/>
      <c r="I968" s="9"/>
      <c r="J968" s="9"/>
      <c r="K968" s="9"/>
      <c r="L968" s="9"/>
      <c r="M968" s="9"/>
      <c r="N968" s="185" t="str">
        <f t="shared" si="71"/>
        <v/>
      </c>
      <c r="O968" s="159" t="str">
        <f t="shared" si="72"/>
        <v/>
      </c>
      <c r="P968" s="63" t="s">
        <v>1940</v>
      </c>
    </row>
    <row r="969" spans="1:16" s="808" customFormat="1" hidden="1">
      <c r="A969" s="609" t="s">
        <v>471</v>
      </c>
      <c r="B969" s="59" t="s">
        <v>228</v>
      </c>
      <c r="C969" s="40" t="s">
        <v>139</v>
      </c>
      <c r="D969" s="34" t="s">
        <v>99</v>
      </c>
      <c r="E969" s="257">
        <v>1</v>
      </c>
      <c r="F969" s="34">
        <v>2</v>
      </c>
      <c r="G969" s="40" t="s">
        <v>429</v>
      </c>
      <c r="H969" s="29">
        <v>1</v>
      </c>
      <c r="I969" s="9">
        <v>2</v>
      </c>
      <c r="J969" s="9">
        <v>2</v>
      </c>
      <c r="K969" s="9">
        <v>1</v>
      </c>
      <c r="L969" s="9">
        <v>1</v>
      </c>
      <c r="M969" s="9">
        <v>1</v>
      </c>
      <c r="N969" s="185">
        <f t="shared" si="71"/>
        <v>0.16933510251023262</v>
      </c>
      <c r="O969" s="159">
        <f t="shared" si="72"/>
        <v>0.19908580854301616</v>
      </c>
      <c r="P969" s="63" t="s">
        <v>853</v>
      </c>
    </row>
    <row r="970" spans="1:16" s="808" customFormat="1" hidden="1">
      <c r="A970" s="609" t="s">
        <v>470</v>
      </c>
      <c r="B970" s="59" t="s">
        <v>231</v>
      </c>
      <c r="C970" s="40" t="s">
        <v>139</v>
      </c>
      <c r="D970" s="34" t="s">
        <v>99</v>
      </c>
      <c r="E970" s="257">
        <v>0</v>
      </c>
      <c r="F970" s="34">
        <v>2</v>
      </c>
      <c r="G970" s="40" t="s">
        <v>429</v>
      </c>
      <c r="H970" s="29">
        <v>1</v>
      </c>
      <c r="I970" s="9">
        <v>2</v>
      </c>
      <c r="J970" s="9">
        <v>2</v>
      </c>
      <c r="K970" s="9">
        <v>1</v>
      </c>
      <c r="L970" s="9">
        <v>1</v>
      </c>
      <c r="M970" s="9">
        <v>1</v>
      </c>
      <c r="N970" s="185">
        <f t="shared" si="71"/>
        <v>0.16933510251023262</v>
      </c>
      <c r="O970" s="159">
        <f t="shared" si="72"/>
        <v>0.19908580854301616</v>
      </c>
      <c r="P970" s="63" t="s">
        <v>1965</v>
      </c>
    </row>
    <row r="971" spans="1:16" s="808" customFormat="1" hidden="1">
      <c r="A971" s="609" t="s">
        <v>470</v>
      </c>
      <c r="B971" s="59" t="s">
        <v>232</v>
      </c>
      <c r="C971" s="40" t="s">
        <v>139</v>
      </c>
      <c r="D971" s="34" t="s">
        <v>99</v>
      </c>
      <c r="E971" s="257">
        <v>0</v>
      </c>
      <c r="F971" s="34">
        <v>2</v>
      </c>
      <c r="G971" s="40" t="s">
        <v>429</v>
      </c>
      <c r="H971" s="29">
        <v>1</v>
      </c>
      <c r="I971" s="9">
        <v>2</v>
      </c>
      <c r="J971" s="9">
        <v>2</v>
      </c>
      <c r="K971" s="9">
        <v>1</v>
      </c>
      <c r="L971" s="9">
        <v>1</v>
      </c>
      <c r="M971" s="9">
        <v>1</v>
      </c>
      <c r="N971" s="185">
        <f t="shared" si="71"/>
        <v>0.16933510251023262</v>
      </c>
      <c r="O971" s="159">
        <f t="shared" si="72"/>
        <v>0.19908580854301616</v>
      </c>
      <c r="P971" s="63" t="s">
        <v>1965</v>
      </c>
    </row>
    <row r="972" spans="1:16" s="808" customFormat="1" hidden="1">
      <c r="A972" s="609" t="s">
        <v>470</v>
      </c>
      <c r="B972" s="59" t="s">
        <v>251</v>
      </c>
      <c r="C972" s="40" t="s">
        <v>139</v>
      </c>
      <c r="D972" s="34" t="s">
        <v>99</v>
      </c>
      <c r="E972" s="257">
        <v>0</v>
      </c>
      <c r="F972" s="34">
        <v>2</v>
      </c>
      <c r="G972" s="40" t="s">
        <v>429</v>
      </c>
      <c r="H972" s="29">
        <v>1</v>
      </c>
      <c r="I972" s="9">
        <v>2</v>
      </c>
      <c r="J972" s="9">
        <v>2</v>
      </c>
      <c r="K972" s="9">
        <v>1</v>
      </c>
      <c r="L972" s="9">
        <v>1</v>
      </c>
      <c r="M972" s="9">
        <v>1</v>
      </c>
      <c r="N972" s="185">
        <f t="shared" si="71"/>
        <v>0.16933510251023262</v>
      </c>
      <c r="O972" s="159">
        <f t="shared" si="72"/>
        <v>0.19908580854301616</v>
      </c>
      <c r="P972" s="63" t="s">
        <v>1965</v>
      </c>
    </row>
    <row r="973" spans="1:16" s="808" customFormat="1" hidden="1">
      <c r="A973" s="609" t="s">
        <v>470</v>
      </c>
      <c r="B973" s="59" t="s">
        <v>258</v>
      </c>
      <c r="C973" s="40" t="s">
        <v>139</v>
      </c>
      <c r="D973" s="34" t="s">
        <v>99</v>
      </c>
      <c r="E973" s="257">
        <v>0</v>
      </c>
      <c r="F973" s="34">
        <v>2</v>
      </c>
      <c r="G973" s="40" t="s">
        <v>429</v>
      </c>
      <c r="H973" s="29">
        <v>1</v>
      </c>
      <c r="I973" s="9">
        <v>2</v>
      </c>
      <c r="J973" s="9">
        <v>2</v>
      </c>
      <c r="K973" s="9">
        <v>1</v>
      </c>
      <c r="L973" s="9">
        <v>1</v>
      </c>
      <c r="M973" s="9">
        <v>1</v>
      </c>
      <c r="N973" s="185">
        <f t="shared" si="71"/>
        <v>0.16933510251023262</v>
      </c>
      <c r="O973" s="159">
        <f t="shared" si="72"/>
        <v>0.19908580854301616</v>
      </c>
      <c r="P973" s="63" t="s">
        <v>1965</v>
      </c>
    </row>
    <row r="974" spans="1:16" s="808" customFormat="1" hidden="1">
      <c r="A974" s="609" t="s">
        <v>470</v>
      </c>
      <c r="B974" s="59" t="s">
        <v>333</v>
      </c>
      <c r="C974" s="40" t="s">
        <v>139</v>
      </c>
      <c r="D974" s="34" t="s">
        <v>99</v>
      </c>
      <c r="E974" s="257" t="s">
        <v>150</v>
      </c>
      <c r="F974" s="34">
        <v>1</v>
      </c>
      <c r="G974" s="40" t="s">
        <v>429</v>
      </c>
      <c r="H974" s="29"/>
      <c r="I974" s="9"/>
      <c r="J974" s="9"/>
      <c r="K974" s="9"/>
      <c r="L974" s="9"/>
      <c r="M974" s="9"/>
      <c r="N974" s="185" t="str">
        <f t="shared" si="71"/>
        <v/>
      </c>
      <c r="O974" s="159" t="str">
        <f t="shared" si="72"/>
        <v/>
      </c>
      <c r="P974" s="63"/>
    </row>
    <row r="975" spans="1:16" s="808" customFormat="1" hidden="1">
      <c r="A975" s="609" t="s">
        <v>472</v>
      </c>
      <c r="B975" s="59" t="s">
        <v>228</v>
      </c>
      <c r="C975" s="40" t="s">
        <v>139</v>
      </c>
      <c r="D975" s="34" t="s">
        <v>99</v>
      </c>
      <c r="E975" s="257">
        <v>0</v>
      </c>
      <c r="F975" s="34">
        <v>2</v>
      </c>
      <c r="G975" s="40" t="s">
        <v>429</v>
      </c>
      <c r="H975" s="29">
        <v>1</v>
      </c>
      <c r="I975" s="9">
        <v>2</v>
      </c>
      <c r="J975" s="9">
        <v>2</v>
      </c>
      <c r="K975" s="9">
        <v>1</v>
      </c>
      <c r="L975" s="9">
        <v>1</v>
      </c>
      <c r="M975" s="9">
        <v>1</v>
      </c>
      <c r="N975" s="185">
        <f t="shared" si="71"/>
        <v>0.16933510251023262</v>
      </c>
      <c r="O975" s="159">
        <f t="shared" si="72"/>
        <v>0.19908580854301616</v>
      </c>
      <c r="P975" s="63" t="s">
        <v>854</v>
      </c>
    </row>
    <row r="976" spans="1:16" s="808" customFormat="1" hidden="1">
      <c r="A976" s="609" t="s">
        <v>472</v>
      </c>
      <c r="B976" s="59" t="s">
        <v>333</v>
      </c>
      <c r="C976" s="40" t="s">
        <v>139</v>
      </c>
      <c r="D976" s="34" t="s">
        <v>99</v>
      </c>
      <c r="E976" s="257" t="s">
        <v>150</v>
      </c>
      <c r="F976" s="34">
        <v>1</v>
      </c>
      <c r="G976" s="40" t="s">
        <v>429</v>
      </c>
      <c r="H976" s="29"/>
      <c r="I976" s="9"/>
      <c r="J976" s="9"/>
      <c r="K976" s="9"/>
      <c r="L976" s="9"/>
      <c r="M976" s="9"/>
      <c r="N976" s="185" t="str">
        <f t="shared" si="71"/>
        <v/>
      </c>
      <c r="O976" s="159" t="str">
        <f t="shared" si="72"/>
        <v/>
      </c>
      <c r="P976" s="63" t="s">
        <v>1941</v>
      </c>
    </row>
    <row r="977" spans="1:16" s="808" customFormat="1" hidden="1">
      <c r="A977" s="609" t="s">
        <v>433</v>
      </c>
      <c r="B977" s="59" t="s">
        <v>474</v>
      </c>
      <c r="C977" s="40" t="s">
        <v>139</v>
      </c>
      <c r="D977" s="34" t="s">
        <v>99</v>
      </c>
      <c r="E977" s="257">
        <f>0.97*0.03</f>
        <v>2.9099999999999997E-2</v>
      </c>
      <c r="F977" s="34">
        <v>2</v>
      </c>
      <c r="G977" s="40" t="s">
        <v>429</v>
      </c>
      <c r="H977" s="29">
        <v>1</v>
      </c>
      <c r="I977" s="9">
        <v>2</v>
      </c>
      <c r="J977" s="9">
        <v>2</v>
      </c>
      <c r="K977" s="9">
        <v>1</v>
      </c>
      <c r="L977" s="9">
        <v>1</v>
      </c>
      <c r="M977" s="9">
        <v>1</v>
      </c>
      <c r="N977" s="185">
        <f t="shared" si="71"/>
        <v>0.16933510251023262</v>
      </c>
      <c r="O977" s="159">
        <f t="shared" si="72"/>
        <v>0.19908580854301616</v>
      </c>
      <c r="P977" s="63" t="s">
        <v>862</v>
      </c>
    </row>
    <row r="978" spans="1:16" s="808" customFormat="1" hidden="1">
      <c r="A978" s="609" t="s">
        <v>433</v>
      </c>
      <c r="B978" s="59" t="s">
        <v>475</v>
      </c>
      <c r="C978" s="40" t="s">
        <v>139</v>
      </c>
      <c r="D978" s="34" t="s">
        <v>99</v>
      </c>
      <c r="E978" s="257">
        <f>0.97*0.97</f>
        <v>0.94089999999999996</v>
      </c>
      <c r="F978" s="34">
        <v>2</v>
      </c>
      <c r="G978" s="40" t="s">
        <v>429</v>
      </c>
      <c r="H978" s="29">
        <v>1</v>
      </c>
      <c r="I978" s="9">
        <v>2</v>
      </c>
      <c r="J978" s="9">
        <v>2</v>
      </c>
      <c r="K978" s="9">
        <v>1</v>
      </c>
      <c r="L978" s="9">
        <v>1</v>
      </c>
      <c r="M978" s="9">
        <v>1</v>
      </c>
      <c r="N978" s="185">
        <f t="shared" si="71"/>
        <v>0.16933510251023262</v>
      </c>
      <c r="O978" s="159">
        <f t="shared" si="72"/>
        <v>0.19908580854301616</v>
      </c>
      <c r="P978" s="63" t="s">
        <v>863</v>
      </c>
    </row>
    <row r="979" spans="1:16" s="808" customFormat="1" hidden="1">
      <c r="A979" s="609" t="s">
        <v>433</v>
      </c>
      <c r="B979" s="59" t="s">
        <v>223</v>
      </c>
      <c r="C979" s="40" t="s">
        <v>139</v>
      </c>
      <c r="D979" s="34" t="s">
        <v>99</v>
      </c>
      <c r="E979" s="257">
        <v>0.03</v>
      </c>
      <c r="F979" s="34">
        <v>1</v>
      </c>
      <c r="G979" s="40" t="s">
        <v>429</v>
      </c>
      <c r="H979" s="29">
        <v>1</v>
      </c>
      <c r="I979" s="9">
        <v>2</v>
      </c>
      <c r="J979" s="9">
        <v>2</v>
      </c>
      <c r="K979" s="9">
        <v>1</v>
      </c>
      <c r="L979" s="9">
        <v>1</v>
      </c>
      <c r="M979" s="9">
        <v>1</v>
      </c>
      <c r="N979" s="185">
        <f t="shared" si="71"/>
        <v>0.16933510251023262</v>
      </c>
      <c r="O979" s="159">
        <f t="shared" si="72"/>
        <v>0.19908580854301616</v>
      </c>
      <c r="P979" s="63" t="s">
        <v>850</v>
      </c>
    </row>
    <row r="980" spans="1:16" s="808" customFormat="1" hidden="1">
      <c r="A980" s="609" t="s">
        <v>474</v>
      </c>
      <c r="B980" s="59" t="s">
        <v>477</v>
      </c>
      <c r="C980" s="40" t="s">
        <v>139</v>
      </c>
      <c r="D980" s="34" t="s">
        <v>99</v>
      </c>
      <c r="E980" s="257">
        <v>0.03</v>
      </c>
      <c r="F980" s="34">
        <v>2</v>
      </c>
      <c r="G980" s="40" t="s">
        <v>429</v>
      </c>
      <c r="H980" s="29">
        <v>1</v>
      </c>
      <c r="I980" s="9">
        <v>2</v>
      </c>
      <c r="J980" s="9">
        <v>2</v>
      </c>
      <c r="K980" s="9">
        <v>1</v>
      </c>
      <c r="L980" s="9">
        <v>1</v>
      </c>
      <c r="M980" s="9">
        <v>1</v>
      </c>
      <c r="N980" s="185">
        <f t="shared" si="71"/>
        <v>0.16933510251023262</v>
      </c>
      <c r="O980" s="159">
        <f t="shared" si="72"/>
        <v>0.19908580854301616</v>
      </c>
      <c r="P980" s="63" t="s">
        <v>851</v>
      </c>
    </row>
    <row r="981" spans="1:16" s="808" customFormat="1" hidden="1">
      <c r="A981" s="609" t="s">
        <v>474</v>
      </c>
      <c r="B981" s="59" t="s">
        <v>478</v>
      </c>
      <c r="C981" s="40" t="s">
        <v>139</v>
      </c>
      <c r="D981" s="34" t="s">
        <v>99</v>
      </c>
      <c r="E981" s="257" t="s">
        <v>150</v>
      </c>
      <c r="F981" s="34">
        <v>1</v>
      </c>
      <c r="G981" s="40" t="s">
        <v>429</v>
      </c>
      <c r="H981" s="29"/>
      <c r="I981" s="9"/>
      <c r="J981" s="9"/>
      <c r="K981" s="9"/>
      <c r="L981" s="9"/>
      <c r="M981" s="9"/>
      <c r="N981" s="185" t="str">
        <f t="shared" si="71"/>
        <v/>
      </c>
      <c r="O981" s="159" t="str">
        <f t="shared" si="72"/>
        <v/>
      </c>
      <c r="P981" s="63" t="s">
        <v>1942</v>
      </c>
    </row>
    <row r="982" spans="1:16" s="808" customFormat="1" hidden="1">
      <c r="A982" s="609" t="s">
        <v>477</v>
      </c>
      <c r="B982" s="59" t="s">
        <v>231</v>
      </c>
      <c r="C982" s="40" t="s">
        <v>139</v>
      </c>
      <c r="D982" s="34" t="s">
        <v>99</v>
      </c>
      <c r="E982" s="257">
        <v>0.05</v>
      </c>
      <c r="F982" s="34">
        <v>2</v>
      </c>
      <c r="G982" s="40" t="s">
        <v>157</v>
      </c>
      <c r="H982" s="29">
        <v>1</v>
      </c>
      <c r="I982" s="9">
        <v>2</v>
      </c>
      <c r="J982" s="9">
        <v>2</v>
      </c>
      <c r="K982" s="9">
        <v>1</v>
      </c>
      <c r="L982" s="9">
        <v>3</v>
      </c>
      <c r="M982" s="9">
        <v>3</v>
      </c>
      <c r="N982" s="185">
        <f t="shared" si="71"/>
        <v>1.0725046436742278</v>
      </c>
      <c r="O982" s="159">
        <f t="shared" si="72"/>
        <v>1.0776024280428556</v>
      </c>
      <c r="P982" s="63" t="s">
        <v>1933</v>
      </c>
    </row>
    <row r="983" spans="1:16" s="808" customFormat="1" hidden="1">
      <c r="A983" s="609" t="s">
        <v>477</v>
      </c>
      <c r="B983" s="59" t="s">
        <v>232</v>
      </c>
      <c r="C983" s="40" t="s">
        <v>139</v>
      </c>
      <c r="D983" s="34" t="s">
        <v>99</v>
      </c>
      <c r="E983" s="257">
        <v>0.39400000000000002</v>
      </c>
      <c r="F983" s="34">
        <v>2</v>
      </c>
      <c r="G983" s="40" t="s">
        <v>429</v>
      </c>
      <c r="H983" s="29">
        <v>1</v>
      </c>
      <c r="I983" s="9">
        <v>2</v>
      </c>
      <c r="J983" s="9">
        <v>2</v>
      </c>
      <c r="K983" s="9">
        <v>1</v>
      </c>
      <c r="L983" s="9">
        <v>1</v>
      </c>
      <c r="M983" s="9">
        <v>1</v>
      </c>
      <c r="N983" s="185">
        <f t="shared" si="71"/>
        <v>0.16933510251023262</v>
      </c>
      <c r="O983" s="159">
        <f t="shared" si="72"/>
        <v>0.19908580854301616</v>
      </c>
      <c r="P983" s="63" t="s">
        <v>1957</v>
      </c>
    </row>
    <row r="984" spans="1:16" s="808" customFormat="1" hidden="1">
      <c r="A984" s="609" t="s">
        <v>477</v>
      </c>
      <c r="B984" s="59" t="s">
        <v>251</v>
      </c>
      <c r="C984" s="40" t="s">
        <v>139</v>
      </c>
      <c r="D984" s="34" t="s">
        <v>99</v>
      </c>
      <c r="E984" s="257">
        <v>0.52200000000000002</v>
      </c>
      <c r="F984" s="34">
        <v>1</v>
      </c>
      <c r="G984" s="40" t="s">
        <v>429</v>
      </c>
      <c r="H984" s="29">
        <v>1</v>
      </c>
      <c r="I984" s="9">
        <v>2</v>
      </c>
      <c r="J984" s="9">
        <v>2</v>
      </c>
      <c r="K984" s="9">
        <v>1</v>
      </c>
      <c r="L984" s="9">
        <v>1</v>
      </c>
      <c r="M984" s="9">
        <v>1</v>
      </c>
      <c r="N984" s="185">
        <f t="shared" si="71"/>
        <v>0.16933510251023262</v>
      </c>
      <c r="O984" s="159">
        <f t="shared" si="72"/>
        <v>0.19908580854301616</v>
      </c>
      <c r="P984" s="63" t="s">
        <v>1958</v>
      </c>
    </row>
    <row r="985" spans="1:16" s="808" customFormat="1" hidden="1">
      <c r="A985" s="609" t="s">
        <v>477</v>
      </c>
      <c r="B985" s="59" t="s">
        <v>258</v>
      </c>
      <c r="C985" s="40" t="s">
        <v>139</v>
      </c>
      <c r="D985" s="34" t="s">
        <v>99</v>
      </c>
      <c r="E985" s="257">
        <v>3.4000000000000002E-2</v>
      </c>
      <c r="F985" s="34">
        <v>2</v>
      </c>
      <c r="G985" s="40" t="s">
        <v>429</v>
      </c>
      <c r="H985" s="29">
        <v>1</v>
      </c>
      <c r="I985" s="9">
        <v>2</v>
      </c>
      <c r="J985" s="9">
        <v>2</v>
      </c>
      <c r="K985" s="9">
        <v>1</v>
      </c>
      <c r="L985" s="9">
        <v>1</v>
      </c>
      <c r="M985" s="9">
        <v>1</v>
      </c>
      <c r="N985" s="185"/>
      <c r="O985" s="159"/>
      <c r="P985" s="63" t="s">
        <v>1959</v>
      </c>
    </row>
    <row r="986" spans="1:16" s="808" customFormat="1" hidden="1">
      <c r="A986" s="609" t="s">
        <v>475</v>
      </c>
      <c r="B986" s="59" t="s">
        <v>479</v>
      </c>
      <c r="C986" s="40" t="s">
        <v>139</v>
      </c>
      <c r="D986" s="34" t="s">
        <v>99</v>
      </c>
      <c r="E986" s="257">
        <f>0.1*E980</f>
        <v>3.0000000000000001E-3</v>
      </c>
      <c r="F986" s="34">
        <v>2</v>
      </c>
      <c r="G986" s="40" t="s">
        <v>429</v>
      </c>
      <c r="H986" s="29">
        <v>1</v>
      </c>
      <c r="I986" s="9">
        <v>2</v>
      </c>
      <c r="J986" s="9">
        <v>2</v>
      </c>
      <c r="K986" s="9">
        <v>1</v>
      </c>
      <c r="L986" s="9">
        <v>1</v>
      </c>
      <c r="M986" s="9">
        <v>1</v>
      </c>
      <c r="N986" s="185">
        <f t="shared" ref="N986:N1003" si="73">IF( OR( ISBLANK(H986),ISBLANK(J986), ISBLANK(K986), ISBLANK(L986), ISBLANK(M986) ), "", 1.5*SQRT(   EXP(2.21*(H986-1)) + EXP(2.21*(J986-1)) + EXP(2.21*(K986-1)) + EXP(2.21*(L986-1)) + EXP(2.21*M986)   )/100*2.45 )</f>
        <v>0.16933510251023262</v>
      </c>
      <c r="O986" s="159">
        <f t="shared" ref="O986:O1003" si="74">IF( OR( ISBLANK(I986),ISBLANK(J986), ISBLANK(K986), ISBLANK(L986), ISBLANK(M986) ), "", 1.5*SQRT( EXP(2.21*(I986-1)) + EXP(2.21*(J986-1)) + EXP(2.21*(K986-1)) + EXP(2.21*(L986-1)) + EXP(2.21*M986)   )/100*2.45 )</f>
        <v>0.19908580854301616</v>
      </c>
      <c r="P986" s="63" t="s">
        <v>852</v>
      </c>
    </row>
    <row r="987" spans="1:16" s="808" customFormat="1" hidden="1">
      <c r="A987" s="609" t="s">
        <v>475</v>
      </c>
      <c r="B987" s="59" t="s">
        <v>480</v>
      </c>
      <c r="C987" s="40" t="s">
        <v>139</v>
      </c>
      <c r="D987" s="34" t="s">
        <v>99</v>
      </c>
      <c r="E987" s="257" t="s">
        <v>150</v>
      </c>
      <c r="F987" s="34">
        <v>1</v>
      </c>
      <c r="G987" s="40" t="s">
        <v>429</v>
      </c>
      <c r="H987" s="29"/>
      <c r="I987" s="9"/>
      <c r="J987" s="9"/>
      <c r="K987" s="9"/>
      <c r="L987" s="9"/>
      <c r="M987" s="9"/>
      <c r="N987" s="185" t="str">
        <f t="shared" si="73"/>
        <v/>
      </c>
      <c r="O987" s="159" t="str">
        <f t="shared" si="74"/>
        <v/>
      </c>
      <c r="P987" s="63" t="s">
        <v>1942</v>
      </c>
    </row>
    <row r="988" spans="1:16" s="808" customFormat="1" hidden="1">
      <c r="A988" s="609" t="s">
        <v>479</v>
      </c>
      <c r="B988" s="59" t="s">
        <v>228</v>
      </c>
      <c r="C988" s="40" t="s">
        <v>139</v>
      </c>
      <c r="D988" s="34" t="s">
        <v>99</v>
      </c>
      <c r="E988" s="257">
        <v>1</v>
      </c>
      <c r="F988" s="34">
        <v>2</v>
      </c>
      <c r="G988" s="40" t="s">
        <v>429</v>
      </c>
      <c r="H988" s="29">
        <v>1</v>
      </c>
      <c r="I988" s="9">
        <v>2</v>
      </c>
      <c r="J988" s="9">
        <v>2</v>
      </c>
      <c r="K988" s="9">
        <v>1</v>
      </c>
      <c r="L988" s="9">
        <v>1</v>
      </c>
      <c r="M988" s="9">
        <v>1</v>
      </c>
      <c r="N988" s="185">
        <f t="shared" si="73"/>
        <v>0.16933510251023262</v>
      </c>
      <c r="O988" s="159">
        <f t="shared" si="74"/>
        <v>0.19908580854301616</v>
      </c>
      <c r="P988" s="63" t="s">
        <v>853</v>
      </c>
    </row>
    <row r="989" spans="1:16" s="808" customFormat="1" hidden="1">
      <c r="A989" s="609" t="s">
        <v>478</v>
      </c>
      <c r="B989" s="59" t="s">
        <v>231</v>
      </c>
      <c r="C989" s="40" t="s">
        <v>139</v>
      </c>
      <c r="D989" s="34" t="s">
        <v>99</v>
      </c>
      <c r="E989" s="257">
        <v>0</v>
      </c>
      <c r="F989" s="34">
        <v>2</v>
      </c>
      <c r="G989" s="40" t="s">
        <v>429</v>
      </c>
      <c r="H989" s="29">
        <v>1</v>
      </c>
      <c r="I989" s="9">
        <v>2</v>
      </c>
      <c r="J989" s="9">
        <v>2</v>
      </c>
      <c r="K989" s="9">
        <v>1</v>
      </c>
      <c r="L989" s="9">
        <v>1</v>
      </c>
      <c r="M989" s="9">
        <v>1</v>
      </c>
      <c r="N989" s="185">
        <f t="shared" si="73"/>
        <v>0.16933510251023262</v>
      </c>
      <c r="O989" s="159">
        <f t="shared" si="74"/>
        <v>0.19908580854301616</v>
      </c>
      <c r="P989" s="63" t="s">
        <v>1964</v>
      </c>
    </row>
    <row r="990" spans="1:16" s="808" customFormat="1" hidden="1">
      <c r="A990" s="609" t="s">
        <v>478</v>
      </c>
      <c r="B990" s="59" t="s">
        <v>232</v>
      </c>
      <c r="C990" s="40" t="s">
        <v>139</v>
      </c>
      <c r="D990" s="34" t="s">
        <v>99</v>
      </c>
      <c r="E990" s="257">
        <v>0</v>
      </c>
      <c r="F990" s="34">
        <v>2</v>
      </c>
      <c r="G990" s="40" t="s">
        <v>429</v>
      </c>
      <c r="H990" s="29">
        <v>1</v>
      </c>
      <c r="I990" s="9">
        <v>2</v>
      </c>
      <c r="J990" s="9">
        <v>2</v>
      </c>
      <c r="K990" s="9">
        <v>1</v>
      </c>
      <c r="L990" s="9">
        <v>1</v>
      </c>
      <c r="M990" s="9">
        <v>1</v>
      </c>
      <c r="N990" s="185">
        <f t="shared" si="73"/>
        <v>0.16933510251023262</v>
      </c>
      <c r="O990" s="159">
        <f t="shared" si="74"/>
        <v>0.19908580854301616</v>
      </c>
      <c r="P990" s="63" t="s">
        <v>1964</v>
      </c>
    </row>
    <row r="991" spans="1:16" s="808" customFormat="1" hidden="1">
      <c r="A991" s="609" t="s">
        <v>478</v>
      </c>
      <c r="B991" s="59" t="s">
        <v>251</v>
      </c>
      <c r="C991" s="40" t="s">
        <v>139</v>
      </c>
      <c r="D991" s="34" t="s">
        <v>99</v>
      </c>
      <c r="E991" s="257">
        <v>0</v>
      </c>
      <c r="F991" s="34">
        <v>2</v>
      </c>
      <c r="G991" s="40" t="s">
        <v>429</v>
      </c>
      <c r="H991" s="29">
        <v>1</v>
      </c>
      <c r="I991" s="9">
        <v>2</v>
      </c>
      <c r="J991" s="9">
        <v>2</v>
      </c>
      <c r="K991" s="9">
        <v>1</v>
      </c>
      <c r="L991" s="9">
        <v>1</v>
      </c>
      <c r="M991" s="9">
        <v>1</v>
      </c>
      <c r="N991" s="185">
        <f t="shared" si="73"/>
        <v>0.16933510251023262</v>
      </c>
      <c r="O991" s="159">
        <f t="shared" si="74"/>
        <v>0.19908580854301616</v>
      </c>
      <c r="P991" s="63" t="s">
        <v>1964</v>
      </c>
    </row>
    <row r="992" spans="1:16" s="808" customFormat="1" hidden="1">
      <c r="A992" s="609" t="s">
        <v>478</v>
      </c>
      <c r="B992" s="59" t="s">
        <v>258</v>
      </c>
      <c r="C992" s="40" t="s">
        <v>139</v>
      </c>
      <c r="D992" s="34" t="s">
        <v>99</v>
      </c>
      <c r="E992" s="257">
        <v>0</v>
      </c>
      <c r="F992" s="34">
        <v>2</v>
      </c>
      <c r="G992" s="40" t="s">
        <v>429</v>
      </c>
      <c r="H992" s="29">
        <v>1</v>
      </c>
      <c r="I992" s="9">
        <v>2</v>
      </c>
      <c r="J992" s="9">
        <v>2</v>
      </c>
      <c r="K992" s="9">
        <v>1</v>
      </c>
      <c r="L992" s="9">
        <v>1</v>
      </c>
      <c r="M992" s="9">
        <v>1</v>
      </c>
      <c r="N992" s="185">
        <f t="shared" si="73"/>
        <v>0.16933510251023262</v>
      </c>
      <c r="O992" s="159">
        <f t="shared" si="74"/>
        <v>0.19908580854301616</v>
      </c>
      <c r="P992" s="63" t="s">
        <v>1964</v>
      </c>
    </row>
    <row r="993" spans="1:16" s="808" customFormat="1" hidden="1">
      <c r="A993" s="609" t="s">
        <v>478</v>
      </c>
      <c r="B993" s="59" t="s">
        <v>333</v>
      </c>
      <c r="C993" s="40" t="s">
        <v>139</v>
      </c>
      <c r="D993" s="34" t="s">
        <v>99</v>
      </c>
      <c r="E993" s="257" t="s">
        <v>150</v>
      </c>
      <c r="F993" s="34">
        <v>1</v>
      </c>
      <c r="G993" s="40" t="s">
        <v>429</v>
      </c>
      <c r="H993" s="29"/>
      <c r="I993" s="9"/>
      <c r="J993" s="9"/>
      <c r="K993" s="9"/>
      <c r="L993" s="9"/>
      <c r="M993" s="9"/>
      <c r="N993" s="185" t="str">
        <f t="shared" si="73"/>
        <v/>
      </c>
      <c r="O993" s="159" t="str">
        <f t="shared" si="74"/>
        <v/>
      </c>
      <c r="P993" s="63"/>
    </row>
    <row r="994" spans="1:16" s="808" customFormat="1" hidden="1">
      <c r="A994" s="609" t="s">
        <v>480</v>
      </c>
      <c r="B994" s="59" t="s">
        <v>228</v>
      </c>
      <c r="C994" s="40" t="s">
        <v>139</v>
      </c>
      <c r="D994" s="34" t="s">
        <v>99</v>
      </c>
      <c r="E994" s="257">
        <v>0</v>
      </c>
      <c r="F994" s="34">
        <v>2</v>
      </c>
      <c r="G994" s="40" t="s">
        <v>429</v>
      </c>
      <c r="H994" s="29">
        <v>1</v>
      </c>
      <c r="I994" s="9">
        <v>2</v>
      </c>
      <c r="J994" s="9">
        <v>2</v>
      </c>
      <c r="K994" s="9">
        <v>1</v>
      </c>
      <c r="L994" s="9">
        <v>1</v>
      </c>
      <c r="M994" s="9">
        <v>1</v>
      </c>
      <c r="N994" s="185">
        <f t="shared" si="73"/>
        <v>0.16933510251023262</v>
      </c>
      <c r="O994" s="159">
        <f t="shared" si="74"/>
        <v>0.19908580854301616</v>
      </c>
      <c r="P994" s="63" t="s">
        <v>854</v>
      </c>
    </row>
    <row r="995" spans="1:16" s="808" customFormat="1" hidden="1">
      <c r="A995" s="609" t="s">
        <v>480</v>
      </c>
      <c r="B995" s="59" t="s">
        <v>333</v>
      </c>
      <c r="C995" s="40" t="s">
        <v>139</v>
      </c>
      <c r="D995" s="34" t="s">
        <v>99</v>
      </c>
      <c r="E995" s="257" t="s">
        <v>150</v>
      </c>
      <c r="F995" s="34">
        <v>1</v>
      </c>
      <c r="G995" s="40" t="s">
        <v>429</v>
      </c>
      <c r="H995" s="29"/>
      <c r="I995" s="9"/>
      <c r="J995" s="9"/>
      <c r="K995" s="9"/>
      <c r="L995" s="9"/>
      <c r="M995" s="9"/>
      <c r="N995" s="185" t="str">
        <f t="shared" si="73"/>
        <v/>
      </c>
      <c r="O995" s="159" t="str">
        <f t="shared" si="74"/>
        <v/>
      </c>
      <c r="P995" s="63" t="s">
        <v>1943</v>
      </c>
    </row>
    <row r="996" spans="1:16" s="808" customFormat="1" hidden="1">
      <c r="A996" s="609" t="s">
        <v>434</v>
      </c>
      <c r="B996" s="59" t="s">
        <v>481</v>
      </c>
      <c r="C996" s="40" t="s">
        <v>139</v>
      </c>
      <c r="D996" s="34" t="s">
        <v>99</v>
      </c>
      <c r="E996" s="257">
        <f>0.97*0.1</f>
        <v>9.7000000000000003E-2</v>
      </c>
      <c r="F996" s="34">
        <v>2</v>
      </c>
      <c r="G996" s="40" t="s">
        <v>429</v>
      </c>
      <c r="H996" s="29">
        <v>1</v>
      </c>
      <c r="I996" s="9">
        <v>2</v>
      </c>
      <c r="J996" s="9">
        <v>2</v>
      </c>
      <c r="K996" s="9">
        <v>1</v>
      </c>
      <c r="L996" s="9">
        <v>1</v>
      </c>
      <c r="M996" s="9">
        <v>1</v>
      </c>
      <c r="N996" s="185">
        <f t="shared" si="73"/>
        <v>0.16933510251023262</v>
      </c>
      <c r="O996" s="159">
        <f t="shared" si="74"/>
        <v>0.19908580854301616</v>
      </c>
      <c r="P996" s="63" t="s">
        <v>864</v>
      </c>
    </row>
    <row r="997" spans="1:16" s="808" customFormat="1" hidden="1">
      <c r="A997" s="609" t="s">
        <v>434</v>
      </c>
      <c r="B997" s="59" t="s">
        <v>482</v>
      </c>
      <c r="C997" s="40" t="s">
        <v>139</v>
      </c>
      <c r="D997" s="34" t="s">
        <v>99</v>
      </c>
      <c r="E997" s="257">
        <f>0.97*0.9</f>
        <v>0.873</v>
      </c>
      <c r="F997" s="34">
        <v>2</v>
      </c>
      <c r="G997" s="40" t="s">
        <v>429</v>
      </c>
      <c r="H997" s="29">
        <v>1</v>
      </c>
      <c r="I997" s="9">
        <v>2</v>
      </c>
      <c r="J997" s="9">
        <v>2</v>
      </c>
      <c r="K997" s="9">
        <v>1</v>
      </c>
      <c r="L997" s="9">
        <v>1</v>
      </c>
      <c r="M997" s="9">
        <v>1</v>
      </c>
      <c r="N997" s="185">
        <f t="shared" si="73"/>
        <v>0.16933510251023262</v>
      </c>
      <c r="O997" s="159">
        <f t="shared" si="74"/>
        <v>0.19908580854301616</v>
      </c>
      <c r="P997" s="63" t="s">
        <v>865</v>
      </c>
    </row>
    <row r="998" spans="1:16" s="808" customFormat="1" hidden="1">
      <c r="A998" s="609" t="s">
        <v>434</v>
      </c>
      <c r="B998" s="59" t="s">
        <v>223</v>
      </c>
      <c r="C998" s="40" t="s">
        <v>139</v>
      </c>
      <c r="D998" s="34" t="s">
        <v>99</v>
      </c>
      <c r="E998" s="257">
        <v>0.03</v>
      </c>
      <c r="F998" s="34">
        <v>1</v>
      </c>
      <c r="G998" s="40" t="s">
        <v>429</v>
      </c>
      <c r="H998" s="29">
        <v>1</v>
      </c>
      <c r="I998" s="9">
        <v>2</v>
      </c>
      <c r="J998" s="9">
        <v>2</v>
      </c>
      <c r="K998" s="9">
        <v>1</v>
      </c>
      <c r="L998" s="9">
        <v>1</v>
      </c>
      <c r="M998" s="9">
        <v>1</v>
      </c>
      <c r="N998" s="185">
        <f t="shared" si="73"/>
        <v>0.16933510251023262</v>
      </c>
      <c r="O998" s="159">
        <f t="shared" si="74"/>
        <v>0.19908580854301616</v>
      </c>
      <c r="P998" s="63" t="s">
        <v>850</v>
      </c>
    </row>
    <row r="999" spans="1:16" s="808" customFormat="1" hidden="1">
      <c r="A999" s="609" t="s">
        <v>481</v>
      </c>
      <c r="B999" s="59" t="s">
        <v>483</v>
      </c>
      <c r="C999" s="40" t="s">
        <v>139</v>
      </c>
      <c r="D999" s="34" t="s">
        <v>99</v>
      </c>
      <c r="E999" s="257">
        <v>0.03</v>
      </c>
      <c r="F999" s="34">
        <v>2</v>
      </c>
      <c r="G999" s="40" t="s">
        <v>429</v>
      </c>
      <c r="H999" s="29">
        <v>1</v>
      </c>
      <c r="I999" s="9">
        <v>2</v>
      </c>
      <c r="J999" s="9">
        <v>2</v>
      </c>
      <c r="K999" s="9">
        <v>1</v>
      </c>
      <c r="L999" s="9">
        <v>1</v>
      </c>
      <c r="M999" s="9">
        <v>1</v>
      </c>
      <c r="N999" s="185">
        <f t="shared" si="73"/>
        <v>0.16933510251023262</v>
      </c>
      <c r="O999" s="159">
        <f t="shared" si="74"/>
        <v>0.19908580854301616</v>
      </c>
      <c r="P999" s="63" t="s">
        <v>851</v>
      </c>
    </row>
    <row r="1000" spans="1:16" s="808" customFormat="1" hidden="1">
      <c r="A1000" s="609" t="s">
        <v>481</v>
      </c>
      <c r="B1000" s="59" t="s">
        <v>476</v>
      </c>
      <c r="C1000" s="40" t="s">
        <v>139</v>
      </c>
      <c r="D1000" s="34" t="s">
        <v>99</v>
      </c>
      <c r="E1000" s="257" t="s">
        <v>150</v>
      </c>
      <c r="F1000" s="34">
        <v>1</v>
      </c>
      <c r="G1000" s="40" t="s">
        <v>429</v>
      </c>
      <c r="H1000" s="29"/>
      <c r="I1000" s="9"/>
      <c r="J1000" s="9"/>
      <c r="K1000" s="9"/>
      <c r="L1000" s="9"/>
      <c r="M1000" s="9"/>
      <c r="N1000" s="185" t="str">
        <f t="shared" si="73"/>
        <v/>
      </c>
      <c r="O1000" s="159" t="str">
        <f t="shared" si="74"/>
        <v/>
      </c>
      <c r="P1000" s="63" t="s">
        <v>1944</v>
      </c>
    </row>
    <row r="1001" spans="1:16" s="808" customFormat="1" hidden="1">
      <c r="A1001" s="609" t="s">
        <v>483</v>
      </c>
      <c r="B1001" s="59" t="s">
        <v>231</v>
      </c>
      <c r="C1001" s="40" t="s">
        <v>139</v>
      </c>
      <c r="D1001" s="34" t="s">
        <v>99</v>
      </c>
      <c r="E1001" s="257">
        <v>0.05</v>
      </c>
      <c r="F1001" s="34">
        <v>2</v>
      </c>
      <c r="G1001" s="40" t="s">
        <v>157</v>
      </c>
      <c r="H1001" s="29">
        <v>1</v>
      </c>
      <c r="I1001" s="9">
        <v>2</v>
      </c>
      <c r="J1001" s="9">
        <v>2</v>
      </c>
      <c r="K1001" s="9">
        <v>1</v>
      </c>
      <c r="L1001" s="9">
        <v>3</v>
      </c>
      <c r="M1001" s="9">
        <v>3</v>
      </c>
      <c r="N1001" s="185">
        <f t="shared" si="73"/>
        <v>1.0725046436742278</v>
      </c>
      <c r="O1001" s="159">
        <f t="shared" si="74"/>
        <v>1.0776024280428556</v>
      </c>
      <c r="P1001" s="63" t="s">
        <v>1933</v>
      </c>
    </row>
    <row r="1002" spans="1:16" s="808" customFormat="1" hidden="1">
      <c r="A1002" s="609" t="s">
        <v>483</v>
      </c>
      <c r="B1002" s="59" t="s">
        <v>232</v>
      </c>
      <c r="C1002" s="40" t="s">
        <v>139</v>
      </c>
      <c r="D1002" s="34" t="s">
        <v>99</v>
      </c>
      <c r="E1002" s="257">
        <v>0.39400000000000002</v>
      </c>
      <c r="F1002" s="34">
        <v>2</v>
      </c>
      <c r="G1002" s="40" t="s">
        <v>429</v>
      </c>
      <c r="H1002" s="29">
        <v>1</v>
      </c>
      <c r="I1002" s="9">
        <v>2</v>
      </c>
      <c r="J1002" s="9">
        <v>2</v>
      </c>
      <c r="K1002" s="9">
        <v>1</v>
      </c>
      <c r="L1002" s="9">
        <v>1</v>
      </c>
      <c r="M1002" s="9">
        <v>1</v>
      </c>
      <c r="N1002" s="185">
        <f t="shared" si="73"/>
        <v>0.16933510251023262</v>
      </c>
      <c r="O1002" s="159">
        <f t="shared" si="74"/>
        <v>0.19908580854301616</v>
      </c>
      <c r="P1002" s="63" t="s">
        <v>1957</v>
      </c>
    </row>
    <row r="1003" spans="1:16" s="808" customFormat="1" hidden="1">
      <c r="A1003" s="609" t="s">
        <v>483</v>
      </c>
      <c r="B1003" s="59" t="s">
        <v>251</v>
      </c>
      <c r="C1003" s="40" t="s">
        <v>139</v>
      </c>
      <c r="D1003" s="34" t="s">
        <v>99</v>
      </c>
      <c r="E1003" s="257">
        <v>0.52200000000000002</v>
      </c>
      <c r="F1003" s="34">
        <v>1</v>
      </c>
      <c r="G1003" s="40" t="s">
        <v>429</v>
      </c>
      <c r="H1003" s="29">
        <v>1</v>
      </c>
      <c r="I1003" s="9">
        <v>2</v>
      </c>
      <c r="J1003" s="9">
        <v>2</v>
      </c>
      <c r="K1003" s="9">
        <v>1</v>
      </c>
      <c r="L1003" s="9">
        <v>1</v>
      </c>
      <c r="M1003" s="9">
        <v>1</v>
      </c>
      <c r="N1003" s="185">
        <f t="shared" si="73"/>
        <v>0.16933510251023262</v>
      </c>
      <c r="O1003" s="159">
        <f t="shared" si="74"/>
        <v>0.19908580854301616</v>
      </c>
      <c r="P1003" s="63" t="s">
        <v>1958</v>
      </c>
    </row>
    <row r="1004" spans="1:16" s="808" customFormat="1" hidden="1">
      <c r="A1004" s="609" t="s">
        <v>483</v>
      </c>
      <c r="B1004" s="59" t="s">
        <v>258</v>
      </c>
      <c r="C1004" s="40" t="s">
        <v>139</v>
      </c>
      <c r="D1004" s="34" t="s">
        <v>99</v>
      </c>
      <c r="E1004" s="257">
        <v>3.4000000000000002E-2</v>
      </c>
      <c r="F1004" s="34">
        <v>2</v>
      </c>
      <c r="G1004" s="40" t="s">
        <v>429</v>
      </c>
      <c r="H1004" s="29">
        <v>1</v>
      </c>
      <c r="I1004" s="9">
        <v>2</v>
      </c>
      <c r="J1004" s="9">
        <v>2</v>
      </c>
      <c r="K1004" s="9">
        <v>1</v>
      </c>
      <c r="L1004" s="9">
        <v>1</v>
      </c>
      <c r="M1004" s="9">
        <v>1</v>
      </c>
      <c r="N1004" s="185"/>
      <c r="O1004" s="159"/>
      <c r="P1004" s="63" t="s">
        <v>1959</v>
      </c>
    </row>
    <row r="1005" spans="1:16" s="808" customFormat="1" hidden="1">
      <c r="A1005" s="609" t="s">
        <v>482</v>
      </c>
      <c r="B1005" s="59" t="s">
        <v>484</v>
      </c>
      <c r="C1005" s="40" t="s">
        <v>139</v>
      </c>
      <c r="D1005" s="34" t="s">
        <v>99</v>
      </c>
      <c r="E1005" s="257">
        <f>0.1*E999</f>
        <v>3.0000000000000001E-3</v>
      </c>
      <c r="F1005" s="34">
        <v>2</v>
      </c>
      <c r="G1005" s="40" t="s">
        <v>429</v>
      </c>
      <c r="H1005" s="29">
        <v>1</v>
      </c>
      <c r="I1005" s="9">
        <v>2</v>
      </c>
      <c r="J1005" s="9">
        <v>2</v>
      </c>
      <c r="K1005" s="9">
        <v>1</v>
      </c>
      <c r="L1005" s="9">
        <v>1</v>
      </c>
      <c r="M1005" s="9">
        <v>1</v>
      </c>
      <c r="N1005" s="185">
        <f t="shared" ref="N1005:N1022" si="75">IF( OR( ISBLANK(H1005),ISBLANK(J1005), ISBLANK(K1005), ISBLANK(L1005), ISBLANK(M1005) ), "", 1.5*SQRT(   EXP(2.21*(H1005-1)) + EXP(2.21*(J1005-1)) + EXP(2.21*(K1005-1)) + EXP(2.21*(L1005-1)) + EXP(2.21*M1005)   )/100*2.45 )</f>
        <v>0.16933510251023262</v>
      </c>
      <c r="O1005" s="159">
        <f t="shared" ref="O1005:O1022" si="76">IF( OR( ISBLANK(I1005),ISBLANK(J1005), ISBLANK(K1005), ISBLANK(L1005), ISBLANK(M1005) ), "", 1.5*SQRT( EXP(2.21*(I1005-1)) + EXP(2.21*(J1005-1)) + EXP(2.21*(K1005-1)) + EXP(2.21*(L1005-1)) + EXP(2.21*M1005)   )/100*2.45 )</f>
        <v>0.19908580854301616</v>
      </c>
      <c r="P1005" s="63" t="s">
        <v>852</v>
      </c>
    </row>
    <row r="1006" spans="1:16" s="808" customFormat="1" hidden="1">
      <c r="A1006" s="609" t="s">
        <v>482</v>
      </c>
      <c r="B1006" s="59" t="s">
        <v>473</v>
      </c>
      <c r="C1006" s="40" t="s">
        <v>139</v>
      </c>
      <c r="D1006" s="34" t="s">
        <v>99</v>
      </c>
      <c r="E1006" s="257" t="s">
        <v>150</v>
      </c>
      <c r="F1006" s="34">
        <v>1</v>
      </c>
      <c r="G1006" s="40" t="s">
        <v>429</v>
      </c>
      <c r="H1006" s="29"/>
      <c r="I1006" s="9"/>
      <c r="J1006" s="9"/>
      <c r="K1006" s="9"/>
      <c r="L1006" s="9"/>
      <c r="M1006" s="9"/>
      <c r="N1006" s="185" t="str">
        <f t="shared" si="75"/>
        <v/>
      </c>
      <c r="O1006" s="159" t="str">
        <f t="shared" si="76"/>
        <v/>
      </c>
      <c r="P1006" s="63" t="s">
        <v>1944</v>
      </c>
    </row>
    <row r="1007" spans="1:16" s="808" customFormat="1" hidden="1">
      <c r="A1007" s="609" t="s">
        <v>484</v>
      </c>
      <c r="B1007" s="59" t="s">
        <v>228</v>
      </c>
      <c r="C1007" s="40" t="s">
        <v>139</v>
      </c>
      <c r="D1007" s="34" t="s">
        <v>99</v>
      </c>
      <c r="E1007" s="257">
        <v>1</v>
      </c>
      <c r="F1007" s="34">
        <v>2</v>
      </c>
      <c r="G1007" s="40" t="s">
        <v>429</v>
      </c>
      <c r="H1007" s="29">
        <v>1</v>
      </c>
      <c r="I1007" s="9">
        <v>2</v>
      </c>
      <c r="J1007" s="9">
        <v>2</v>
      </c>
      <c r="K1007" s="9">
        <v>1</v>
      </c>
      <c r="L1007" s="9">
        <v>1</v>
      </c>
      <c r="M1007" s="9">
        <v>1</v>
      </c>
      <c r="N1007" s="185">
        <f t="shared" si="75"/>
        <v>0.16933510251023262</v>
      </c>
      <c r="O1007" s="159">
        <f t="shared" si="76"/>
        <v>0.19908580854301616</v>
      </c>
      <c r="P1007" s="63" t="s">
        <v>853</v>
      </c>
    </row>
    <row r="1008" spans="1:16" s="808" customFormat="1" hidden="1">
      <c r="A1008" s="609" t="s">
        <v>476</v>
      </c>
      <c r="B1008" s="59" t="s">
        <v>231</v>
      </c>
      <c r="C1008" s="40" t="s">
        <v>139</v>
      </c>
      <c r="D1008" s="34" t="s">
        <v>99</v>
      </c>
      <c r="E1008" s="257">
        <v>0</v>
      </c>
      <c r="F1008" s="34">
        <v>2</v>
      </c>
      <c r="G1008" s="40" t="s">
        <v>429</v>
      </c>
      <c r="H1008" s="29">
        <v>1</v>
      </c>
      <c r="I1008" s="9">
        <v>2</v>
      </c>
      <c r="J1008" s="9">
        <v>2</v>
      </c>
      <c r="K1008" s="9">
        <v>1</v>
      </c>
      <c r="L1008" s="9">
        <v>1</v>
      </c>
      <c r="M1008" s="9">
        <v>1</v>
      </c>
      <c r="N1008" s="185">
        <f t="shared" si="75"/>
        <v>0.16933510251023262</v>
      </c>
      <c r="O1008" s="159">
        <f t="shared" si="76"/>
        <v>0.19908580854301616</v>
      </c>
      <c r="P1008" s="63" t="s">
        <v>1963</v>
      </c>
    </row>
    <row r="1009" spans="1:16" s="808" customFormat="1" hidden="1">
      <c r="A1009" s="609" t="s">
        <v>476</v>
      </c>
      <c r="B1009" s="59" t="s">
        <v>232</v>
      </c>
      <c r="C1009" s="40" t="s">
        <v>139</v>
      </c>
      <c r="D1009" s="34" t="s">
        <v>99</v>
      </c>
      <c r="E1009" s="257">
        <v>0</v>
      </c>
      <c r="F1009" s="34">
        <v>2</v>
      </c>
      <c r="G1009" s="40" t="s">
        <v>429</v>
      </c>
      <c r="H1009" s="29">
        <v>1</v>
      </c>
      <c r="I1009" s="9">
        <v>2</v>
      </c>
      <c r="J1009" s="9">
        <v>2</v>
      </c>
      <c r="K1009" s="9">
        <v>1</v>
      </c>
      <c r="L1009" s="9">
        <v>1</v>
      </c>
      <c r="M1009" s="9">
        <v>1</v>
      </c>
      <c r="N1009" s="185">
        <f t="shared" si="75"/>
        <v>0.16933510251023262</v>
      </c>
      <c r="O1009" s="159">
        <f t="shared" si="76"/>
        <v>0.19908580854301616</v>
      </c>
      <c r="P1009" s="63" t="s">
        <v>1963</v>
      </c>
    </row>
    <row r="1010" spans="1:16" s="808" customFormat="1" hidden="1">
      <c r="A1010" s="609" t="s">
        <v>476</v>
      </c>
      <c r="B1010" s="59" t="s">
        <v>251</v>
      </c>
      <c r="C1010" s="40" t="s">
        <v>139</v>
      </c>
      <c r="D1010" s="34" t="s">
        <v>99</v>
      </c>
      <c r="E1010" s="257">
        <v>0</v>
      </c>
      <c r="F1010" s="34">
        <v>2</v>
      </c>
      <c r="G1010" s="40" t="s">
        <v>429</v>
      </c>
      <c r="H1010" s="29">
        <v>1</v>
      </c>
      <c r="I1010" s="9">
        <v>2</v>
      </c>
      <c r="J1010" s="9">
        <v>2</v>
      </c>
      <c r="K1010" s="9">
        <v>1</v>
      </c>
      <c r="L1010" s="9">
        <v>1</v>
      </c>
      <c r="M1010" s="9">
        <v>1</v>
      </c>
      <c r="N1010" s="185">
        <f t="shared" si="75"/>
        <v>0.16933510251023262</v>
      </c>
      <c r="O1010" s="159">
        <f t="shared" si="76"/>
        <v>0.19908580854301616</v>
      </c>
      <c r="P1010" s="63" t="s">
        <v>1963</v>
      </c>
    </row>
    <row r="1011" spans="1:16" s="808" customFormat="1" hidden="1">
      <c r="A1011" s="609" t="s">
        <v>476</v>
      </c>
      <c r="B1011" s="59" t="s">
        <v>258</v>
      </c>
      <c r="C1011" s="40" t="s">
        <v>139</v>
      </c>
      <c r="D1011" s="34" t="s">
        <v>99</v>
      </c>
      <c r="E1011" s="257">
        <v>0</v>
      </c>
      <c r="F1011" s="34">
        <v>2</v>
      </c>
      <c r="G1011" s="40" t="s">
        <v>429</v>
      </c>
      <c r="H1011" s="29">
        <v>1</v>
      </c>
      <c r="I1011" s="9">
        <v>2</v>
      </c>
      <c r="J1011" s="9">
        <v>2</v>
      </c>
      <c r="K1011" s="9">
        <v>1</v>
      </c>
      <c r="L1011" s="9">
        <v>1</v>
      </c>
      <c r="M1011" s="9">
        <v>1</v>
      </c>
      <c r="N1011" s="185">
        <f t="shared" si="75"/>
        <v>0.16933510251023262</v>
      </c>
      <c r="O1011" s="159">
        <f t="shared" si="76"/>
        <v>0.19908580854301616</v>
      </c>
      <c r="P1011" s="63" t="s">
        <v>1963</v>
      </c>
    </row>
    <row r="1012" spans="1:16" s="808" customFormat="1" hidden="1">
      <c r="A1012" s="609" t="s">
        <v>476</v>
      </c>
      <c r="B1012" s="59" t="s">
        <v>333</v>
      </c>
      <c r="C1012" s="40" t="s">
        <v>139</v>
      </c>
      <c r="D1012" s="34" t="s">
        <v>99</v>
      </c>
      <c r="E1012" s="257" t="s">
        <v>150</v>
      </c>
      <c r="F1012" s="34">
        <v>1</v>
      </c>
      <c r="G1012" s="40" t="s">
        <v>429</v>
      </c>
      <c r="H1012" s="29"/>
      <c r="I1012" s="9"/>
      <c r="J1012" s="9"/>
      <c r="K1012" s="9"/>
      <c r="L1012" s="9"/>
      <c r="M1012" s="9"/>
      <c r="N1012" s="185" t="str">
        <f t="shared" si="75"/>
        <v/>
      </c>
      <c r="O1012" s="159" t="str">
        <f t="shared" si="76"/>
        <v/>
      </c>
      <c r="P1012" s="63"/>
    </row>
    <row r="1013" spans="1:16" s="808" customFormat="1" hidden="1">
      <c r="A1013" s="609" t="s">
        <v>473</v>
      </c>
      <c r="B1013" s="59" t="s">
        <v>228</v>
      </c>
      <c r="C1013" s="40" t="s">
        <v>139</v>
      </c>
      <c r="D1013" s="34" t="s">
        <v>99</v>
      </c>
      <c r="E1013" s="257">
        <v>0</v>
      </c>
      <c r="F1013" s="34">
        <v>2</v>
      </c>
      <c r="G1013" s="40" t="s">
        <v>429</v>
      </c>
      <c r="H1013" s="29">
        <v>1</v>
      </c>
      <c r="I1013" s="9">
        <v>2</v>
      </c>
      <c r="J1013" s="9">
        <v>2</v>
      </c>
      <c r="K1013" s="9">
        <v>1</v>
      </c>
      <c r="L1013" s="9">
        <v>1</v>
      </c>
      <c r="M1013" s="9">
        <v>1</v>
      </c>
      <c r="N1013" s="185">
        <f t="shared" si="75"/>
        <v>0.16933510251023262</v>
      </c>
      <c r="O1013" s="159">
        <f t="shared" si="76"/>
        <v>0.19908580854301616</v>
      </c>
      <c r="P1013" s="63" t="s">
        <v>854</v>
      </c>
    </row>
    <row r="1014" spans="1:16" s="808" customFormat="1" hidden="1">
      <c r="A1014" s="609" t="s">
        <v>473</v>
      </c>
      <c r="B1014" s="59" t="s">
        <v>333</v>
      </c>
      <c r="C1014" s="40" t="s">
        <v>139</v>
      </c>
      <c r="D1014" s="34" t="s">
        <v>99</v>
      </c>
      <c r="E1014" s="257" t="s">
        <v>150</v>
      </c>
      <c r="F1014" s="34">
        <v>1</v>
      </c>
      <c r="G1014" s="40" t="s">
        <v>429</v>
      </c>
      <c r="H1014" s="29"/>
      <c r="I1014" s="9"/>
      <c r="J1014" s="9"/>
      <c r="K1014" s="9"/>
      <c r="L1014" s="9"/>
      <c r="M1014" s="9"/>
      <c r="N1014" s="185" t="str">
        <f t="shared" si="75"/>
        <v/>
      </c>
      <c r="O1014" s="159" t="str">
        <f t="shared" si="76"/>
        <v/>
      </c>
      <c r="P1014" s="63" t="s">
        <v>1945</v>
      </c>
    </row>
    <row r="1015" spans="1:16" s="808" customFormat="1" hidden="1">
      <c r="A1015" s="609" t="s">
        <v>435</v>
      </c>
      <c r="B1015" s="59" t="s">
        <v>487</v>
      </c>
      <c r="C1015" s="40" t="s">
        <v>139</v>
      </c>
      <c r="D1015" s="34" t="s">
        <v>99</v>
      </c>
      <c r="E1015" s="257">
        <f>0.97*0.25</f>
        <v>0.24249999999999999</v>
      </c>
      <c r="F1015" s="34">
        <v>2</v>
      </c>
      <c r="G1015" s="40" t="s">
        <v>429</v>
      </c>
      <c r="H1015" s="29">
        <v>1</v>
      </c>
      <c r="I1015" s="9">
        <v>2</v>
      </c>
      <c r="J1015" s="9">
        <v>2</v>
      </c>
      <c r="K1015" s="9">
        <v>1</v>
      </c>
      <c r="L1015" s="9">
        <v>1</v>
      </c>
      <c r="M1015" s="9">
        <v>1</v>
      </c>
      <c r="N1015" s="185">
        <f t="shared" si="75"/>
        <v>0.16933510251023262</v>
      </c>
      <c r="O1015" s="159">
        <f t="shared" si="76"/>
        <v>0.19908580854301616</v>
      </c>
      <c r="P1015" s="63" t="s">
        <v>858</v>
      </c>
    </row>
    <row r="1016" spans="1:16" s="808" customFormat="1" hidden="1">
      <c r="A1016" s="609" t="s">
        <v>435</v>
      </c>
      <c r="B1016" s="59" t="s">
        <v>488</v>
      </c>
      <c r="C1016" s="40" t="s">
        <v>139</v>
      </c>
      <c r="D1016" s="34" t="s">
        <v>99</v>
      </c>
      <c r="E1016" s="257">
        <f>0.97*0.75</f>
        <v>0.72750000000000004</v>
      </c>
      <c r="F1016" s="34">
        <v>2</v>
      </c>
      <c r="G1016" s="40" t="s">
        <v>429</v>
      </c>
      <c r="H1016" s="29">
        <v>1</v>
      </c>
      <c r="I1016" s="9">
        <v>2</v>
      </c>
      <c r="J1016" s="9">
        <v>2</v>
      </c>
      <c r="K1016" s="9">
        <v>1</v>
      </c>
      <c r="L1016" s="9">
        <v>1</v>
      </c>
      <c r="M1016" s="9">
        <v>1</v>
      </c>
      <c r="N1016" s="185">
        <f t="shared" si="75"/>
        <v>0.16933510251023262</v>
      </c>
      <c r="O1016" s="159">
        <f t="shared" si="76"/>
        <v>0.19908580854301616</v>
      </c>
      <c r="P1016" s="63" t="s">
        <v>865</v>
      </c>
    </row>
    <row r="1017" spans="1:16" s="808" customFormat="1" hidden="1">
      <c r="A1017" s="609" t="s">
        <v>435</v>
      </c>
      <c r="B1017" s="59" t="s">
        <v>223</v>
      </c>
      <c r="C1017" s="40" t="s">
        <v>139</v>
      </c>
      <c r="D1017" s="34" t="s">
        <v>99</v>
      </c>
      <c r="E1017" s="257">
        <v>0.03</v>
      </c>
      <c r="F1017" s="34">
        <v>1</v>
      </c>
      <c r="G1017" s="40" t="s">
        <v>429</v>
      </c>
      <c r="H1017" s="29">
        <v>1</v>
      </c>
      <c r="I1017" s="9">
        <v>2</v>
      </c>
      <c r="J1017" s="9">
        <v>2</v>
      </c>
      <c r="K1017" s="9">
        <v>1</v>
      </c>
      <c r="L1017" s="9">
        <v>1</v>
      </c>
      <c r="M1017" s="9">
        <v>1</v>
      </c>
      <c r="N1017" s="185">
        <f t="shared" si="75"/>
        <v>0.16933510251023262</v>
      </c>
      <c r="O1017" s="159">
        <f t="shared" si="76"/>
        <v>0.19908580854301616</v>
      </c>
      <c r="P1017" s="63" t="s">
        <v>850</v>
      </c>
    </row>
    <row r="1018" spans="1:16" s="808" customFormat="1" hidden="1">
      <c r="A1018" s="609" t="s">
        <v>487</v>
      </c>
      <c r="B1018" s="59" t="s">
        <v>489</v>
      </c>
      <c r="C1018" s="40" t="s">
        <v>139</v>
      </c>
      <c r="D1018" s="34" t="s">
        <v>99</v>
      </c>
      <c r="E1018" s="257">
        <v>0.03</v>
      </c>
      <c r="F1018" s="34">
        <v>2</v>
      </c>
      <c r="G1018" s="40" t="s">
        <v>429</v>
      </c>
      <c r="H1018" s="29">
        <v>1</v>
      </c>
      <c r="I1018" s="9">
        <v>2</v>
      </c>
      <c r="J1018" s="9">
        <v>2</v>
      </c>
      <c r="K1018" s="9">
        <v>1</v>
      </c>
      <c r="L1018" s="9">
        <v>1</v>
      </c>
      <c r="M1018" s="9">
        <v>1</v>
      </c>
      <c r="N1018" s="185">
        <f t="shared" si="75"/>
        <v>0.16933510251023262</v>
      </c>
      <c r="O1018" s="159">
        <f t="shared" si="76"/>
        <v>0.19908580854301616</v>
      </c>
      <c r="P1018" s="63" t="s">
        <v>851</v>
      </c>
    </row>
    <row r="1019" spans="1:16" s="808" customFormat="1" hidden="1">
      <c r="A1019" s="609" t="s">
        <v>487</v>
      </c>
      <c r="B1019" s="59" t="s">
        <v>486</v>
      </c>
      <c r="C1019" s="40" t="s">
        <v>139</v>
      </c>
      <c r="D1019" s="34" t="s">
        <v>99</v>
      </c>
      <c r="E1019" s="257" t="s">
        <v>150</v>
      </c>
      <c r="F1019" s="34">
        <v>1</v>
      </c>
      <c r="G1019" s="40" t="s">
        <v>429</v>
      </c>
      <c r="H1019" s="29"/>
      <c r="I1019" s="9"/>
      <c r="J1019" s="9"/>
      <c r="K1019" s="9"/>
      <c r="L1019" s="9"/>
      <c r="M1019" s="9"/>
      <c r="N1019" s="185" t="str">
        <f t="shared" si="75"/>
        <v/>
      </c>
      <c r="O1019" s="159" t="str">
        <f t="shared" si="76"/>
        <v/>
      </c>
      <c r="P1019" s="63" t="s">
        <v>1979</v>
      </c>
    </row>
    <row r="1020" spans="1:16" s="808" customFormat="1" hidden="1">
      <c r="A1020" s="609" t="s">
        <v>489</v>
      </c>
      <c r="B1020" s="59" t="s">
        <v>231</v>
      </c>
      <c r="C1020" s="40" t="s">
        <v>139</v>
      </c>
      <c r="D1020" s="34" t="s">
        <v>99</v>
      </c>
      <c r="E1020" s="257">
        <v>0.05</v>
      </c>
      <c r="F1020" s="34">
        <v>2</v>
      </c>
      <c r="G1020" s="40" t="s">
        <v>157</v>
      </c>
      <c r="H1020" s="29">
        <v>1</v>
      </c>
      <c r="I1020" s="9">
        <v>2</v>
      </c>
      <c r="J1020" s="9">
        <v>2</v>
      </c>
      <c r="K1020" s="9">
        <v>1</v>
      </c>
      <c r="L1020" s="9">
        <v>3</v>
      </c>
      <c r="M1020" s="9">
        <v>3</v>
      </c>
      <c r="N1020" s="185">
        <f t="shared" si="75"/>
        <v>1.0725046436742278</v>
      </c>
      <c r="O1020" s="159">
        <f t="shared" si="76"/>
        <v>1.0776024280428556</v>
      </c>
      <c r="P1020" s="63" t="s">
        <v>1933</v>
      </c>
    </row>
    <row r="1021" spans="1:16" s="808" customFormat="1" hidden="1">
      <c r="A1021" s="609" t="s">
        <v>489</v>
      </c>
      <c r="B1021" s="59" t="s">
        <v>232</v>
      </c>
      <c r="C1021" s="40" t="s">
        <v>139</v>
      </c>
      <c r="D1021" s="34" t="s">
        <v>99</v>
      </c>
      <c r="E1021" s="257">
        <v>0.39400000000000002</v>
      </c>
      <c r="F1021" s="34">
        <v>2</v>
      </c>
      <c r="G1021" s="40" t="s">
        <v>429</v>
      </c>
      <c r="H1021" s="29">
        <v>1</v>
      </c>
      <c r="I1021" s="9">
        <v>2</v>
      </c>
      <c r="J1021" s="9">
        <v>2</v>
      </c>
      <c r="K1021" s="9">
        <v>1</v>
      </c>
      <c r="L1021" s="9">
        <v>1</v>
      </c>
      <c r="M1021" s="9">
        <v>1</v>
      </c>
      <c r="N1021" s="185">
        <f t="shared" si="75"/>
        <v>0.16933510251023262</v>
      </c>
      <c r="O1021" s="159">
        <f t="shared" si="76"/>
        <v>0.19908580854301616</v>
      </c>
      <c r="P1021" s="63" t="s">
        <v>1957</v>
      </c>
    </row>
    <row r="1022" spans="1:16" s="808" customFormat="1" hidden="1">
      <c r="A1022" s="609" t="s">
        <v>489</v>
      </c>
      <c r="B1022" s="59" t="s">
        <v>251</v>
      </c>
      <c r="C1022" s="40" t="s">
        <v>139</v>
      </c>
      <c r="D1022" s="34" t="s">
        <v>99</v>
      </c>
      <c r="E1022" s="257">
        <v>0.52200000000000002</v>
      </c>
      <c r="F1022" s="34">
        <v>1</v>
      </c>
      <c r="G1022" s="40" t="s">
        <v>429</v>
      </c>
      <c r="H1022" s="29">
        <v>1</v>
      </c>
      <c r="I1022" s="9">
        <v>2</v>
      </c>
      <c r="J1022" s="9">
        <v>2</v>
      </c>
      <c r="K1022" s="9">
        <v>1</v>
      </c>
      <c r="L1022" s="9">
        <v>1</v>
      </c>
      <c r="M1022" s="9">
        <v>1</v>
      </c>
      <c r="N1022" s="185">
        <f t="shared" si="75"/>
        <v>0.16933510251023262</v>
      </c>
      <c r="O1022" s="159">
        <f t="shared" si="76"/>
        <v>0.19908580854301616</v>
      </c>
      <c r="P1022" s="63" t="s">
        <v>1958</v>
      </c>
    </row>
    <row r="1023" spans="1:16" s="808" customFormat="1" hidden="1">
      <c r="A1023" s="609" t="s">
        <v>489</v>
      </c>
      <c r="B1023" s="59" t="s">
        <v>258</v>
      </c>
      <c r="C1023" s="40" t="s">
        <v>139</v>
      </c>
      <c r="D1023" s="34" t="s">
        <v>99</v>
      </c>
      <c r="E1023" s="257">
        <v>3.4000000000000002E-2</v>
      </c>
      <c r="F1023" s="34">
        <v>2</v>
      </c>
      <c r="G1023" s="40" t="s">
        <v>429</v>
      </c>
      <c r="H1023" s="29">
        <v>1</v>
      </c>
      <c r="I1023" s="9">
        <v>2</v>
      </c>
      <c r="J1023" s="9">
        <v>2</v>
      </c>
      <c r="K1023" s="9">
        <v>1</v>
      </c>
      <c r="L1023" s="9">
        <v>1</v>
      </c>
      <c r="M1023" s="9">
        <v>1</v>
      </c>
      <c r="N1023" s="185"/>
      <c r="O1023" s="159"/>
      <c r="P1023" s="63" t="s">
        <v>1959</v>
      </c>
    </row>
    <row r="1024" spans="1:16" s="808" customFormat="1" hidden="1">
      <c r="A1024" s="609" t="s">
        <v>488</v>
      </c>
      <c r="B1024" s="59" t="s">
        <v>490</v>
      </c>
      <c r="C1024" s="40" t="s">
        <v>139</v>
      </c>
      <c r="D1024" s="34" t="s">
        <v>99</v>
      </c>
      <c r="E1024" s="257">
        <f>0.1*E1018</f>
        <v>3.0000000000000001E-3</v>
      </c>
      <c r="F1024" s="34">
        <v>2</v>
      </c>
      <c r="G1024" s="40" t="s">
        <v>429</v>
      </c>
      <c r="H1024" s="29">
        <v>1</v>
      </c>
      <c r="I1024" s="9">
        <v>2</v>
      </c>
      <c r="J1024" s="9">
        <v>2</v>
      </c>
      <c r="K1024" s="9">
        <v>1</v>
      </c>
      <c r="L1024" s="9">
        <v>1</v>
      </c>
      <c r="M1024" s="9">
        <v>1</v>
      </c>
      <c r="N1024" s="185">
        <f t="shared" ref="N1024:N1041" si="77">IF( OR( ISBLANK(H1024),ISBLANK(J1024), ISBLANK(K1024), ISBLANK(L1024), ISBLANK(M1024) ), "", 1.5*SQRT(   EXP(2.21*(H1024-1)) + EXP(2.21*(J1024-1)) + EXP(2.21*(K1024-1)) + EXP(2.21*(L1024-1)) + EXP(2.21*M1024)   )/100*2.45 )</f>
        <v>0.16933510251023262</v>
      </c>
      <c r="O1024" s="159">
        <f t="shared" ref="O1024:O1041" si="78">IF( OR( ISBLANK(I1024),ISBLANK(J1024), ISBLANK(K1024), ISBLANK(L1024), ISBLANK(M1024) ), "", 1.5*SQRT( EXP(2.21*(I1024-1)) + EXP(2.21*(J1024-1)) + EXP(2.21*(K1024-1)) + EXP(2.21*(L1024-1)) + EXP(2.21*M1024)   )/100*2.45 )</f>
        <v>0.19908580854301616</v>
      </c>
      <c r="P1024" s="63" t="s">
        <v>852</v>
      </c>
    </row>
    <row r="1025" spans="1:16" s="808" customFormat="1" hidden="1">
      <c r="A1025" s="609" t="s">
        <v>488</v>
      </c>
      <c r="B1025" s="59" t="s">
        <v>485</v>
      </c>
      <c r="C1025" s="40" t="s">
        <v>139</v>
      </c>
      <c r="D1025" s="34" t="s">
        <v>99</v>
      </c>
      <c r="E1025" s="257" t="s">
        <v>150</v>
      </c>
      <c r="F1025" s="34">
        <v>1</v>
      </c>
      <c r="G1025" s="40" t="s">
        <v>429</v>
      </c>
      <c r="H1025" s="29">
        <v>1</v>
      </c>
      <c r="I1025" s="9">
        <v>2</v>
      </c>
      <c r="J1025" s="9">
        <v>2</v>
      </c>
      <c r="K1025" s="9">
        <v>1</v>
      </c>
      <c r="L1025" s="9">
        <v>1</v>
      </c>
      <c r="M1025" s="9">
        <v>1</v>
      </c>
      <c r="N1025" s="185">
        <f t="shared" si="77"/>
        <v>0.16933510251023262</v>
      </c>
      <c r="O1025" s="159">
        <f t="shared" si="78"/>
        <v>0.19908580854301616</v>
      </c>
      <c r="P1025" s="63" t="s">
        <v>1979</v>
      </c>
    </row>
    <row r="1026" spans="1:16" s="808" customFormat="1" hidden="1">
      <c r="A1026" s="609" t="s">
        <v>490</v>
      </c>
      <c r="B1026" s="59" t="s">
        <v>228</v>
      </c>
      <c r="C1026" s="40" t="s">
        <v>139</v>
      </c>
      <c r="D1026" s="34" t="s">
        <v>99</v>
      </c>
      <c r="E1026" s="257">
        <v>1</v>
      </c>
      <c r="F1026" s="34">
        <v>2</v>
      </c>
      <c r="G1026" s="40" t="s">
        <v>429</v>
      </c>
      <c r="H1026" s="29"/>
      <c r="I1026" s="9"/>
      <c r="J1026" s="9"/>
      <c r="K1026" s="9"/>
      <c r="L1026" s="9"/>
      <c r="M1026" s="9"/>
      <c r="N1026" s="185" t="str">
        <f t="shared" si="77"/>
        <v/>
      </c>
      <c r="O1026" s="159" t="str">
        <f t="shared" si="78"/>
        <v/>
      </c>
      <c r="P1026" s="63" t="s">
        <v>853</v>
      </c>
    </row>
    <row r="1027" spans="1:16" s="808" customFormat="1" hidden="1">
      <c r="A1027" s="609" t="s">
        <v>486</v>
      </c>
      <c r="B1027" s="59" t="s">
        <v>231</v>
      </c>
      <c r="C1027" s="40" t="s">
        <v>139</v>
      </c>
      <c r="D1027" s="34" t="s">
        <v>99</v>
      </c>
      <c r="E1027" s="257">
        <v>1.6000000000000001E-3</v>
      </c>
      <c r="F1027" s="34">
        <v>2</v>
      </c>
      <c r="G1027" s="40" t="s">
        <v>1993</v>
      </c>
      <c r="H1027" s="29">
        <v>1</v>
      </c>
      <c r="I1027" s="9">
        <v>2</v>
      </c>
      <c r="J1027" s="9">
        <v>2</v>
      </c>
      <c r="K1027" s="9">
        <v>1</v>
      </c>
      <c r="L1027" s="9">
        <v>3</v>
      </c>
      <c r="M1027" s="9">
        <v>3</v>
      </c>
      <c r="N1027" s="185">
        <f t="shared" si="77"/>
        <v>1.0725046436742278</v>
      </c>
      <c r="O1027" s="159">
        <f t="shared" si="78"/>
        <v>1.0776024280428556</v>
      </c>
      <c r="P1027" s="63" t="s">
        <v>1969</v>
      </c>
    </row>
    <row r="1028" spans="1:16" s="808" customFormat="1" hidden="1">
      <c r="A1028" s="609" t="s">
        <v>486</v>
      </c>
      <c r="B1028" s="59" t="s">
        <v>232</v>
      </c>
      <c r="C1028" s="40" t="s">
        <v>139</v>
      </c>
      <c r="D1028" s="34" t="s">
        <v>99</v>
      </c>
      <c r="E1028" s="257">
        <v>1.26E-2</v>
      </c>
      <c r="F1028" s="34">
        <v>2</v>
      </c>
      <c r="G1028" s="40" t="s">
        <v>429</v>
      </c>
      <c r="H1028" s="29">
        <v>1</v>
      </c>
      <c r="I1028" s="9">
        <v>2</v>
      </c>
      <c r="J1028" s="9">
        <v>2</v>
      </c>
      <c r="K1028" s="9">
        <v>1</v>
      </c>
      <c r="L1028" s="9">
        <v>1</v>
      </c>
      <c r="M1028" s="9">
        <v>1</v>
      </c>
      <c r="N1028" s="185">
        <f t="shared" si="77"/>
        <v>0.16933510251023262</v>
      </c>
      <c r="O1028" s="159">
        <f t="shared" si="78"/>
        <v>0.19908580854301616</v>
      </c>
      <c r="P1028" s="63" t="s">
        <v>1970</v>
      </c>
    </row>
    <row r="1029" spans="1:16" s="808" customFormat="1" hidden="1">
      <c r="A1029" s="609" t="s">
        <v>486</v>
      </c>
      <c r="B1029" s="59" t="s">
        <v>251</v>
      </c>
      <c r="C1029" s="40" t="s">
        <v>139</v>
      </c>
      <c r="D1029" s="34" t="s">
        <v>99</v>
      </c>
      <c r="E1029" s="257">
        <v>1.67E-2</v>
      </c>
      <c r="F1029" s="34">
        <v>2</v>
      </c>
      <c r="G1029" s="40" t="s">
        <v>429</v>
      </c>
      <c r="H1029" s="29">
        <v>1</v>
      </c>
      <c r="I1029" s="9">
        <v>2</v>
      </c>
      <c r="J1029" s="9">
        <v>2</v>
      </c>
      <c r="K1029" s="9">
        <v>1</v>
      </c>
      <c r="L1029" s="9">
        <v>1</v>
      </c>
      <c r="M1029" s="9">
        <v>1</v>
      </c>
      <c r="N1029" s="185">
        <f t="shared" si="77"/>
        <v>0.16933510251023262</v>
      </c>
      <c r="O1029" s="159">
        <f t="shared" si="78"/>
        <v>0.19908580854301616</v>
      </c>
      <c r="P1029" s="63" t="s">
        <v>1976</v>
      </c>
    </row>
    <row r="1030" spans="1:16" s="808" customFormat="1" hidden="1">
      <c r="A1030" s="609" t="s">
        <v>486</v>
      </c>
      <c r="B1030" s="59" t="s">
        <v>258</v>
      </c>
      <c r="C1030" s="40" t="s">
        <v>139</v>
      </c>
      <c r="D1030" s="34" t="s">
        <v>99</v>
      </c>
      <c r="E1030" s="257">
        <v>1.1000000000000001E-3</v>
      </c>
      <c r="F1030" s="34">
        <v>2</v>
      </c>
      <c r="G1030" s="40" t="s">
        <v>429</v>
      </c>
      <c r="H1030" s="29">
        <v>1</v>
      </c>
      <c r="I1030" s="9">
        <v>2</v>
      </c>
      <c r="J1030" s="9">
        <v>2</v>
      </c>
      <c r="K1030" s="9">
        <v>1</v>
      </c>
      <c r="L1030" s="9">
        <v>1</v>
      </c>
      <c r="M1030" s="9">
        <v>1</v>
      </c>
      <c r="N1030" s="185">
        <f t="shared" si="77"/>
        <v>0.16933510251023262</v>
      </c>
      <c r="O1030" s="159">
        <f t="shared" si="78"/>
        <v>0.19908580854301616</v>
      </c>
      <c r="P1030" s="63" t="s">
        <v>1971</v>
      </c>
    </row>
    <row r="1031" spans="1:16" s="808" customFormat="1" hidden="1">
      <c r="A1031" s="609" t="s">
        <v>486</v>
      </c>
      <c r="B1031" s="59" t="s">
        <v>333</v>
      </c>
      <c r="C1031" s="40" t="s">
        <v>139</v>
      </c>
      <c r="D1031" s="34" t="s">
        <v>99</v>
      </c>
      <c r="E1031" s="257" t="s">
        <v>150</v>
      </c>
      <c r="F1031" s="34">
        <v>1</v>
      </c>
      <c r="G1031" s="40" t="s">
        <v>429</v>
      </c>
      <c r="H1031" s="29"/>
      <c r="I1031" s="9"/>
      <c r="J1031" s="9"/>
      <c r="K1031" s="9"/>
      <c r="L1031" s="9"/>
      <c r="M1031" s="9"/>
      <c r="N1031" s="185" t="str">
        <f t="shared" si="77"/>
        <v/>
      </c>
      <c r="O1031" s="159" t="str">
        <f t="shared" si="78"/>
        <v/>
      </c>
      <c r="P1031" s="63"/>
    </row>
    <row r="1032" spans="1:16" s="808" customFormat="1" hidden="1">
      <c r="A1032" s="609" t="s">
        <v>485</v>
      </c>
      <c r="B1032" s="59" t="s">
        <v>228</v>
      </c>
      <c r="C1032" s="40" t="s">
        <v>139</v>
      </c>
      <c r="D1032" s="34" t="s">
        <v>99</v>
      </c>
      <c r="E1032" s="257">
        <v>3.2000000000000001E-2</v>
      </c>
      <c r="F1032" s="34">
        <v>2</v>
      </c>
      <c r="G1032" s="40" t="s">
        <v>429</v>
      </c>
      <c r="H1032" s="29">
        <v>1</v>
      </c>
      <c r="I1032" s="9">
        <v>2</v>
      </c>
      <c r="J1032" s="9">
        <v>2</v>
      </c>
      <c r="K1032" s="9">
        <v>1</v>
      </c>
      <c r="L1032" s="9">
        <v>1</v>
      </c>
      <c r="M1032" s="9">
        <v>1</v>
      </c>
      <c r="N1032" s="185">
        <f t="shared" si="77"/>
        <v>0.16933510251023262</v>
      </c>
      <c r="O1032" s="159">
        <f t="shared" si="78"/>
        <v>0.19908580854301616</v>
      </c>
      <c r="P1032" s="63" t="s">
        <v>857</v>
      </c>
    </row>
    <row r="1033" spans="1:16" s="808" customFormat="1" hidden="1">
      <c r="A1033" s="609" t="s">
        <v>485</v>
      </c>
      <c r="B1033" s="59" t="s">
        <v>333</v>
      </c>
      <c r="C1033" s="40" t="s">
        <v>139</v>
      </c>
      <c r="D1033" s="34" t="s">
        <v>99</v>
      </c>
      <c r="E1033" s="257" t="s">
        <v>150</v>
      </c>
      <c r="F1033" s="34">
        <v>1</v>
      </c>
      <c r="G1033" s="40" t="s">
        <v>429</v>
      </c>
      <c r="H1033" s="29"/>
      <c r="I1033" s="9"/>
      <c r="J1033" s="9"/>
      <c r="K1033" s="9"/>
      <c r="L1033" s="9"/>
      <c r="M1033" s="9"/>
      <c r="N1033" s="185" t="str">
        <f t="shared" si="77"/>
        <v/>
      </c>
      <c r="O1033" s="159" t="str">
        <f t="shared" si="78"/>
        <v/>
      </c>
      <c r="P1033" s="63" t="s">
        <v>1980</v>
      </c>
    </row>
    <row r="1034" spans="1:16" s="808" customFormat="1" hidden="1">
      <c r="A1034" s="609" t="s">
        <v>436</v>
      </c>
      <c r="B1034" s="59" t="s">
        <v>491</v>
      </c>
      <c r="C1034" s="40" t="s">
        <v>139</v>
      </c>
      <c r="D1034" s="34" t="s">
        <v>99</v>
      </c>
      <c r="E1034" s="257">
        <f>0.85*0.4</f>
        <v>0.34</v>
      </c>
      <c r="F1034" s="34">
        <v>2</v>
      </c>
      <c r="G1034" s="40" t="s">
        <v>429</v>
      </c>
      <c r="H1034" s="29">
        <v>1</v>
      </c>
      <c r="I1034" s="9">
        <v>2</v>
      </c>
      <c r="J1034" s="9">
        <v>2</v>
      </c>
      <c r="K1034" s="9">
        <v>1</v>
      </c>
      <c r="L1034" s="9">
        <v>1</v>
      </c>
      <c r="M1034" s="9">
        <v>1</v>
      </c>
      <c r="N1034" s="185">
        <f t="shared" si="77"/>
        <v>0.16933510251023262</v>
      </c>
      <c r="O1034" s="159">
        <f t="shared" si="78"/>
        <v>0.19908580854301616</v>
      </c>
      <c r="P1034" s="63" t="s">
        <v>866</v>
      </c>
    </row>
    <row r="1035" spans="1:16" s="808" customFormat="1" hidden="1">
      <c r="A1035" s="609" t="s">
        <v>436</v>
      </c>
      <c r="B1035" s="59" t="s">
        <v>492</v>
      </c>
      <c r="C1035" s="40" t="s">
        <v>139</v>
      </c>
      <c r="D1035" s="34" t="s">
        <v>99</v>
      </c>
      <c r="E1035" s="257">
        <f>0.85*0.6</f>
        <v>0.51</v>
      </c>
      <c r="F1035" s="34">
        <v>2</v>
      </c>
      <c r="G1035" s="40" t="s">
        <v>429</v>
      </c>
      <c r="H1035" s="29">
        <v>1</v>
      </c>
      <c r="I1035" s="9">
        <v>2</v>
      </c>
      <c r="J1035" s="9">
        <v>2</v>
      </c>
      <c r="K1035" s="9">
        <v>1</v>
      </c>
      <c r="L1035" s="9">
        <v>1</v>
      </c>
      <c r="M1035" s="9">
        <v>1</v>
      </c>
      <c r="N1035" s="185">
        <f t="shared" si="77"/>
        <v>0.16933510251023262</v>
      </c>
      <c r="O1035" s="159">
        <f t="shared" si="78"/>
        <v>0.19908580854301616</v>
      </c>
      <c r="P1035" s="63" t="s">
        <v>867</v>
      </c>
    </row>
    <row r="1036" spans="1:16" s="808" customFormat="1" hidden="1">
      <c r="A1036" s="609" t="s">
        <v>436</v>
      </c>
      <c r="B1036" s="59" t="s">
        <v>223</v>
      </c>
      <c r="C1036" s="40" t="s">
        <v>139</v>
      </c>
      <c r="D1036" s="34" t="s">
        <v>99</v>
      </c>
      <c r="E1036" s="257">
        <v>0.15</v>
      </c>
      <c r="F1036" s="34">
        <v>1</v>
      </c>
      <c r="G1036" s="40" t="s">
        <v>429</v>
      </c>
      <c r="H1036" s="29">
        <v>1</v>
      </c>
      <c r="I1036" s="9">
        <v>2</v>
      </c>
      <c r="J1036" s="9">
        <v>2</v>
      </c>
      <c r="K1036" s="9">
        <v>1</v>
      </c>
      <c r="L1036" s="9">
        <v>1</v>
      </c>
      <c r="M1036" s="9">
        <v>1</v>
      </c>
      <c r="N1036" s="185">
        <f t="shared" si="77"/>
        <v>0.16933510251023262</v>
      </c>
      <c r="O1036" s="159">
        <f t="shared" si="78"/>
        <v>0.19908580854301616</v>
      </c>
      <c r="P1036" s="63" t="s">
        <v>868</v>
      </c>
    </row>
    <row r="1037" spans="1:16" s="808" customFormat="1" hidden="1">
      <c r="A1037" s="609" t="s">
        <v>491</v>
      </c>
      <c r="B1037" s="59" t="s">
        <v>493</v>
      </c>
      <c r="C1037" s="40" t="s">
        <v>139</v>
      </c>
      <c r="D1037" s="34" t="s">
        <v>99</v>
      </c>
      <c r="E1037" s="257">
        <v>0.03</v>
      </c>
      <c r="F1037" s="34">
        <v>2</v>
      </c>
      <c r="G1037" s="40" t="s">
        <v>429</v>
      </c>
      <c r="H1037" s="29">
        <v>1</v>
      </c>
      <c r="I1037" s="9">
        <v>2</v>
      </c>
      <c r="J1037" s="9">
        <v>2</v>
      </c>
      <c r="K1037" s="9">
        <v>1</v>
      </c>
      <c r="L1037" s="9">
        <v>1</v>
      </c>
      <c r="M1037" s="9">
        <v>1</v>
      </c>
      <c r="N1037" s="185">
        <f t="shared" si="77"/>
        <v>0.16933510251023262</v>
      </c>
      <c r="O1037" s="159">
        <f t="shared" si="78"/>
        <v>0.19908580854301616</v>
      </c>
      <c r="P1037" s="63" t="s">
        <v>851</v>
      </c>
    </row>
    <row r="1038" spans="1:16" s="808" customFormat="1" hidden="1">
      <c r="A1038" s="609" t="s">
        <v>491</v>
      </c>
      <c r="B1038" s="59" t="s">
        <v>494</v>
      </c>
      <c r="C1038" s="40" t="s">
        <v>139</v>
      </c>
      <c r="D1038" s="34" t="s">
        <v>99</v>
      </c>
      <c r="E1038" s="257" t="s">
        <v>150</v>
      </c>
      <c r="F1038" s="34">
        <v>1</v>
      </c>
      <c r="G1038" s="40" t="s">
        <v>429</v>
      </c>
      <c r="H1038" s="29"/>
      <c r="I1038" s="9"/>
      <c r="J1038" s="9"/>
      <c r="K1038" s="9"/>
      <c r="L1038" s="9"/>
      <c r="M1038" s="9"/>
      <c r="N1038" s="185" t="str">
        <f t="shared" si="77"/>
        <v/>
      </c>
      <c r="O1038" s="159" t="str">
        <f t="shared" si="78"/>
        <v/>
      </c>
      <c r="P1038" s="63" t="s">
        <v>1946</v>
      </c>
    </row>
    <row r="1039" spans="1:16" s="808" customFormat="1" hidden="1">
      <c r="A1039" s="609" t="s">
        <v>493</v>
      </c>
      <c r="B1039" s="59" t="s">
        <v>231</v>
      </c>
      <c r="C1039" s="40" t="s">
        <v>139</v>
      </c>
      <c r="D1039" s="34" t="s">
        <v>99</v>
      </c>
      <c r="E1039" s="257">
        <v>0.05</v>
      </c>
      <c r="F1039" s="34">
        <v>2</v>
      </c>
      <c r="G1039" s="40" t="s">
        <v>157</v>
      </c>
      <c r="H1039" s="29">
        <v>1</v>
      </c>
      <c r="I1039" s="9">
        <v>2</v>
      </c>
      <c r="J1039" s="9">
        <v>2</v>
      </c>
      <c r="K1039" s="9">
        <v>1</v>
      </c>
      <c r="L1039" s="9">
        <v>3</v>
      </c>
      <c r="M1039" s="9">
        <v>3</v>
      </c>
      <c r="N1039" s="185">
        <f t="shared" si="77"/>
        <v>1.0725046436742278</v>
      </c>
      <c r="O1039" s="159">
        <f t="shared" si="78"/>
        <v>1.0776024280428556</v>
      </c>
      <c r="P1039" s="63" t="s">
        <v>1933</v>
      </c>
    </row>
    <row r="1040" spans="1:16" s="808" customFormat="1" hidden="1">
      <c r="A1040" s="609" t="s">
        <v>493</v>
      </c>
      <c r="B1040" s="59" t="s">
        <v>232</v>
      </c>
      <c r="C1040" s="40" t="s">
        <v>139</v>
      </c>
      <c r="D1040" s="34" t="s">
        <v>99</v>
      </c>
      <c r="E1040" s="257">
        <v>0.39400000000000002</v>
      </c>
      <c r="F1040" s="34">
        <v>2</v>
      </c>
      <c r="G1040" s="40" t="s">
        <v>429</v>
      </c>
      <c r="H1040" s="29">
        <v>1</v>
      </c>
      <c r="I1040" s="9">
        <v>2</v>
      </c>
      <c r="J1040" s="9">
        <v>2</v>
      </c>
      <c r="K1040" s="9">
        <v>1</v>
      </c>
      <c r="L1040" s="9">
        <v>1</v>
      </c>
      <c r="M1040" s="9">
        <v>1</v>
      </c>
      <c r="N1040" s="185">
        <f t="shared" si="77"/>
        <v>0.16933510251023262</v>
      </c>
      <c r="O1040" s="159">
        <f t="shared" si="78"/>
        <v>0.19908580854301616</v>
      </c>
      <c r="P1040" s="63" t="s">
        <v>1957</v>
      </c>
    </row>
    <row r="1041" spans="1:20" s="808" customFormat="1" hidden="1">
      <c r="A1041" s="609" t="s">
        <v>493</v>
      </c>
      <c r="B1041" s="59" t="s">
        <v>251</v>
      </c>
      <c r="C1041" s="40" t="s">
        <v>139</v>
      </c>
      <c r="D1041" s="34" t="s">
        <v>99</v>
      </c>
      <c r="E1041" s="257">
        <v>0.52200000000000002</v>
      </c>
      <c r="F1041" s="34">
        <v>1</v>
      </c>
      <c r="G1041" s="40" t="s">
        <v>429</v>
      </c>
      <c r="H1041" s="29">
        <v>1</v>
      </c>
      <c r="I1041" s="9">
        <v>2</v>
      </c>
      <c r="J1041" s="9">
        <v>2</v>
      </c>
      <c r="K1041" s="9">
        <v>1</v>
      </c>
      <c r="L1041" s="9">
        <v>1</v>
      </c>
      <c r="M1041" s="9">
        <v>1</v>
      </c>
      <c r="N1041" s="185">
        <f t="shared" si="77"/>
        <v>0.16933510251023262</v>
      </c>
      <c r="O1041" s="159">
        <f t="shared" si="78"/>
        <v>0.19908580854301616</v>
      </c>
      <c r="P1041" s="63" t="s">
        <v>1958</v>
      </c>
    </row>
    <row r="1042" spans="1:20" s="808" customFormat="1" hidden="1">
      <c r="A1042" s="609" t="s">
        <v>493</v>
      </c>
      <c r="B1042" s="59" t="s">
        <v>258</v>
      </c>
      <c r="C1042" s="40" t="s">
        <v>139</v>
      </c>
      <c r="D1042" s="34" t="s">
        <v>99</v>
      </c>
      <c r="E1042" s="257">
        <v>3.4000000000000002E-2</v>
      </c>
      <c r="F1042" s="34">
        <v>2</v>
      </c>
      <c r="G1042" s="40" t="s">
        <v>429</v>
      </c>
      <c r="H1042" s="29">
        <v>1</v>
      </c>
      <c r="I1042" s="9">
        <v>2</v>
      </c>
      <c r="J1042" s="9">
        <v>2</v>
      </c>
      <c r="K1042" s="9">
        <v>1</v>
      </c>
      <c r="L1042" s="9">
        <v>1</v>
      </c>
      <c r="M1042" s="9">
        <v>1</v>
      </c>
      <c r="N1042" s="185"/>
      <c r="O1042" s="159"/>
      <c r="P1042" s="63" t="s">
        <v>1959</v>
      </c>
    </row>
    <row r="1043" spans="1:20" s="808" customFormat="1" hidden="1">
      <c r="A1043" s="609" t="s">
        <v>492</v>
      </c>
      <c r="B1043" s="59" t="s">
        <v>495</v>
      </c>
      <c r="C1043" s="40" t="s">
        <v>139</v>
      </c>
      <c r="D1043" s="34" t="s">
        <v>99</v>
      </c>
      <c r="E1043" s="257">
        <f>0.1*E1037</f>
        <v>3.0000000000000001E-3</v>
      </c>
      <c r="F1043" s="34">
        <v>2</v>
      </c>
      <c r="G1043" s="40" t="s">
        <v>429</v>
      </c>
      <c r="H1043" s="29">
        <v>1</v>
      </c>
      <c r="I1043" s="9">
        <v>2</v>
      </c>
      <c r="J1043" s="9">
        <v>2</v>
      </c>
      <c r="K1043" s="9">
        <v>1</v>
      </c>
      <c r="L1043" s="9">
        <v>1</v>
      </c>
      <c r="M1043" s="9">
        <v>1</v>
      </c>
      <c r="N1043" s="185">
        <f t="shared" ref="N1043:N1060" si="79">IF( OR( ISBLANK(H1043),ISBLANK(J1043), ISBLANK(K1043), ISBLANK(L1043), ISBLANK(M1043) ), "", 1.5*SQRT(   EXP(2.21*(H1043-1)) + EXP(2.21*(J1043-1)) + EXP(2.21*(K1043-1)) + EXP(2.21*(L1043-1)) + EXP(2.21*M1043)   )/100*2.45 )</f>
        <v>0.16933510251023262</v>
      </c>
      <c r="O1043" s="159">
        <f t="shared" ref="O1043:O1060" si="80">IF( OR( ISBLANK(I1043),ISBLANK(J1043), ISBLANK(K1043), ISBLANK(L1043), ISBLANK(M1043) ), "", 1.5*SQRT( EXP(2.21*(I1043-1)) + EXP(2.21*(J1043-1)) + EXP(2.21*(K1043-1)) + EXP(2.21*(L1043-1)) + EXP(2.21*M1043)   )/100*2.45 )</f>
        <v>0.19908580854301616</v>
      </c>
      <c r="P1043" s="63" t="s">
        <v>852</v>
      </c>
    </row>
    <row r="1044" spans="1:20" s="808" customFormat="1" hidden="1">
      <c r="A1044" s="609" t="s">
        <v>492</v>
      </c>
      <c r="B1044" s="59" t="s">
        <v>496</v>
      </c>
      <c r="C1044" s="40" t="s">
        <v>139</v>
      </c>
      <c r="D1044" s="34" t="s">
        <v>99</v>
      </c>
      <c r="E1044" s="257" t="s">
        <v>150</v>
      </c>
      <c r="F1044" s="34">
        <v>1</v>
      </c>
      <c r="G1044" s="40" t="s">
        <v>429</v>
      </c>
      <c r="H1044" s="29"/>
      <c r="I1044" s="9"/>
      <c r="J1044" s="9"/>
      <c r="K1044" s="9"/>
      <c r="L1044" s="9"/>
      <c r="M1044" s="9"/>
      <c r="N1044" s="185" t="str">
        <f t="shared" si="79"/>
        <v/>
      </c>
      <c r="O1044" s="159" t="str">
        <f t="shared" si="80"/>
        <v/>
      </c>
      <c r="P1044" s="63" t="s">
        <v>1946</v>
      </c>
    </row>
    <row r="1045" spans="1:20" s="808" customFormat="1" hidden="1">
      <c r="A1045" s="609" t="s">
        <v>495</v>
      </c>
      <c r="B1045" s="59" t="s">
        <v>228</v>
      </c>
      <c r="C1045" s="40" t="s">
        <v>139</v>
      </c>
      <c r="D1045" s="34" t="s">
        <v>99</v>
      </c>
      <c r="E1045" s="257">
        <v>1</v>
      </c>
      <c r="F1045" s="34">
        <v>2</v>
      </c>
      <c r="G1045" s="40" t="s">
        <v>429</v>
      </c>
      <c r="H1045" s="29">
        <v>1</v>
      </c>
      <c r="I1045" s="9">
        <v>2</v>
      </c>
      <c r="J1045" s="9">
        <v>2</v>
      </c>
      <c r="K1045" s="9">
        <v>1</v>
      </c>
      <c r="L1045" s="9">
        <v>1</v>
      </c>
      <c r="M1045" s="9">
        <v>1</v>
      </c>
      <c r="N1045" s="185">
        <f t="shared" si="79"/>
        <v>0.16933510251023262</v>
      </c>
      <c r="O1045" s="159">
        <f t="shared" si="80"/>
        <v>0.19908580854301616</v>
      </c>
      <c r="P1045" s="63" t="s">
        <v>853</v>
      </c>
    </row>
    <row r="1046" spans="1:20" s="808" customFormat="1" hidden="1">
      <c r="A1046" s="609" t="s">
        <v>494</v>
      </c>
      <c r="B1046" s="59" t="s">
        <v>231</v>
      </c>
      <c r="C1046" s="40" t="s">
        <v>139</v>
      </c>
      <c r="D1046" s="34" t="s">
        <v>99</v>
      </c>
      <c r="E1046" s="257">
        <v>3.2000000000000002E-3</v>
      </c>
      <c r="F1046" s="34">
        <v>2</v>
      </c>
      <c r="G1046" s="40" t="s">
        <v>1993</v>
      </c>
      <c r="H1046" s="29">
        <v>1</v>
      </c>
      <c r="I1046" s="9">
        <v>2</v>
      </c>
      <c r="J1046" s="9">
        <v>2</v>
      </c>
      <c r="K1046" s="9">
        <v>1</v>
      </c>
      <c r="L1046" s="9">
        <v>3</v>
      </c>
      <c r="M1046" s="9">
        <v>3</v>
      </c>
      <c r="N1046" s="185">
        <f t="shared" si="79"/>
        <v>1.0725046436742278</v>
      </c>
      <c r="O1046" s="159">
        <f t="shared" si="80"/>
        <v>1.0776024280428556</v>
      </c>
      <c r="P1046" s="63" t="s">
        <v>1981</v>
      </c>
      <c r="T1046" s="7"/>
    </row>
    <row r="1047" spans="1:20" s="808" customFormat="1" hidden="1">
      <c r="A1047" s="609" t="s">
        <v>494</v>
      </c>
      <c r="B1047" s="59" t="s">
        <v>232</v>
      </c>
      <c r="C1047" s="40" t="s">
        <v>139</v>
      </c>
      <c r="D1047" s="34" t="s">
        <v>99</v>
      </c>
      <c r="E1047" s="257">
        <v>2.5215999999999999E-2</v>
      </c>
      <c r="F1047" s="34">
        <v>2</v>
      </c>
      <c r="G1047" s="40" t="s">
        <v>429</v>
      </c>
      <c r="H1047" s="29">
        <v>1</v>
      </c>
      <c r="I1047" s="9">
        <v>2</v>
      </c>
      <c r="J1047" s="9">
        <v>2</v>
      </c>
      <c r="K1047" s="9">
        <v>1</v>
      </c>
      <c r="L1047" s="9">
        <v>1</v>
      </c>
      <c r="M1047" s="9">
        <v>1</v>
      </c>
      <c r="N1047" s="185">
        <f t="shared" si="79"/>
        <v>0.16933510251023262</v>
      </c>
      <c r="O1047" s="159">
        <f t="shared" si="80"/>
        <v>0.19908580854301616</v>
      </c>
      <c r="P1047" s="63" t="s">
        <v>1984</v>
      </c>
      <c r="R1047" s="837"/>
      <c r="T1047" s="7"/>
    </row>
    <row r="1048" spans="1:20" s="808" customFormat="1" hidden="1">
      <c r="A1048" s="609" t="s">
        <v>494</v>
      </c>
      <c r="B1048" s="59" t="s">
        <v>251</v>
      </c>
      <c r="C1048" s="40" t="s">
        <v>139</v>
      </c>
      <c r="D1048" s="34" t="s">
        <v>99</v>
      </c>
      <c r="E1048" s="257">
        <v>3.3408E-2</v>
      </c>
      <c r="F1048" s="34">
        <v>2</v>
      </c>
      <c r="G1048" s="40" t="s">
        <v>429</v>
      </c>
      <c r="H1048" s="29">
        <v>1</v>
      </c>
      <c r="I1048" s="9">
        <v>2</v>
      </c>
      <c r="J1048" s="9">
        <v>2</v>
      </c>
      <c r="K1048" s="9">
        <v>1</v>
      </c>
      <c r="L1048" s="9">
        <v>1</v>
      </c>
      <c r="M1048" s="9">
        <v>1</v>
      </c>
      <c r="N1048" s="185">
        <f t="shared" si="79"/>
        <v>0.16933510251023262</v>
      </c>
      <c r="O1048" s="159">
        <f t="shared" si="80"/>
        <v>0.19908580854301616</v>
      </c>
      <c r="P1048" s="63" t="s">
        <v>1982</v>
      </c>
      <c r="T1048" s="7"/>
    </row>
    <row r="1049" spans="1:20" s="808" customFormat="1" hidden="1">
      <c r="A1049" s="609" t="s">
        <v>494</v>
      </c>
      <c r="B1049" s="59" t="s">
        <v>258</v>
      </c>
      <c r="C1049" s="40" t="s">
        <v>139</v>
      </c>
      <c r="D1049" s="34" t="s">
        <v>99</v>
      </c>
      <c r="E1049" s="257">
        <v>2.176E-3</v>
      </c>
      <c r="F1049" s="34">
        <v>2</v>
      </c>
      <c r="G1049" s="40" t="s">
        <v>429</v>
      </c>
      <c r="H1049" s="29">
        <v>1</v>
      </c>
      <c r="I1049" s="9">
        <v>2</v>
      </c>
      <c r="J1049" s="9">
        <v>2</v>
      </c>
      <c r="K1049" s="9">
        <v>1</v>
      </c>
      <c r="L1049" s="9">
        <v>1</v>
      </c>
      <c r="M1049" s="9">
        <v>1</v>
      </c>
      <c r="N1049" s="185">
        <f t="shared" si="79"/>
        <v>0.16933510251023262</v>
      </c>
      <c r="O1049" s="159">
        <f t="shared" si="80"/>
        <v>0.19908580854301616</v>
      </c>
      <c r="P1049" s="63" t="s">
        <v>1983</v>
      </c>
      <c r="T1049" s="7"/>
    </row>
    <row r="1050" spans="1:20" s="808" customFormat="1" hidden="1">
      <c r="A1050" s="609" t="s">
        <v>494</v>
      </c>
      <c r="B1050" s="59" t="s">
        <v>333</v>
      </c>
      <c r="C1050" s="40" t="s">
        <v>139</v>
      </c>
      <c r="D1050" s="34" t="s">
        <v>99</v>
      </c>
      <c r="E1050" s="257" t="s">
        <v>150</v>
      </c>
      <c r="F1050" s="34">
        <v>1</v>
      </c>
      <c r="G1050" s="40" t="s">
        <v>429</v>
      </c>
      <c r="H1050" s="29"/>
      <c r="I1050" s="9"/>
      <c r="J1050" s="9"/>
      <c r="K1050" s="9"/>
      <c r="L1050" s="9"/>
      <c r="M1050" s="9"/>
      <c r="N1050" s="185" t="str">
        <f t="shared" si="79"/>
        <v/>
      </c>
      <c r="O1050" s="159" t="str">
        <f t="shared" si="80"/>
        <v/>
      </c>
      <c r="P1050" s="63"/>
      <c r="T1050" s="7"/>
    </row>
    <row r="1051" spans="1:20" s="808" customFormat="1" hidden="1">
      <c r="A1051" s="609" t="s">
        <v>496</v>
      </c>
      <c r="B1051" s="59" t="s">
        <v>228</v>
      </c>
      <c r="C1051" s="40" t="s">
        <v>139</v>
      </c>
      <c r="D1051" s="34" t="s">
        <v>99</v>
      </c>
      <c r="E1051" s="257">
        <v>6.4000000000000001E-2</v>
      </c>
      <c r="F1051" s="34">
        <v>2</v>
      </c>
      <c r="G1051" s="40" t="s">
        <v>429</v>
      </c>
      <c r="H1051" s="29">
        <v>1</v>
      </c>
      <c r="I1051" s="9">
        <v>2</v>
      </c>
      <c r="J1051" s="9">
        <v>2</v>
      </c>
      <c r="K1051" s="9">
        <v>1</v>
      </c>
      <c r="L1051" s="9">
        <v>1</v>
      </c>
      <c r="M1051" s="9">
        <v>1</v>
      </c>
      <c r="N1051" s="185">
        <f t="shared" si="79"/>
        <v>0.16933510251023262</v>
      </c>
      <c r="O1051" s="159">
        <f t="shared" si="80"/>
        <v>0.19908580854301616</v>
      </c>
      <c r="P1051" s="63" t="s">
        <v>869</v>
      </c>
    </row>
    <row r="1052" spans="1:20" s="808" customFormat="1" hidden="1">
      <c r="A1052" s="609" t="s">
        <v>496</v>
      </c>
      <c r="B1052" s="59" t="s">
        <v>333</v>
      </c>
      <c r="C1052" s="40" t="s">
        <v>139</v>
      </c>
      <c r="D1052" s="34" t="s">
        <v>99</v>
      </c>
      <c r="E1052" s="257" t="s">
        <v>150</v>
      </c>
      <c r="F1052" s="34">
        <v>1</v>
      </c>
      <c r="G1052" s="40" t="s">
        <v>429</v>
      </c>
      <c r="H1052" s="29"/>
      <c r="I1052" s="9"/>
      <c r="J1052" s="9"/>
      <c r="K1052" s="9"/>
      <c r="L1052" s="9"/>
      <c r="M1052" s="9"/>
      <c r="N1052" s="185" t="str">
        <f t="shared" si="79"/>
        <v/>
      </c>
      <c r="O1052" s="159" t="str">
        <f t="shared" si="80"/>
        <v/>
      </c>
      <c r="P1052" s="63" t="s">
        <v>1947</v>
      </c>
    </row>
    <row r="1053" spans="1:20" s="808" customFormat="1" hidden="1">
      <c r="A1053" s="609" t="s">
        <v>437</v>
      </c>
      <c r="B1053" s="59" t="s">
        <v>497</v>
      </c>
      <c r="C1053" s="40" t="s">
        <v>139</v>
      </c>
      <c r="D1053" s="34" t="s">
        <v>99</v>
      </c>
      <c r="E1053" s="257">
        <f>0.85*0.6</f>
        <v>0.51</v>
      </c>
      <c r="F1053" s="34">
        <v>2</v>
      </c>
      <c r="G1053" s="40" t="s">
        <v>429</v>
      </c>
      <c r="H1053" s="29">
        <v>1</v>
      </c>
      <c r="I1053" s="9">
        <v>2</v>
      </c>
      <c r="J1053" s="9">
        <v>2</v>
      </c>
      <c r="K1053" s="9">
        <v>1</v>
      </c>
      <c r="L1053" s="9">
        <v>1</v>
      </c>
      <c r="M1053" s="9">
        <v>1</v>
      </c>
      <c r="N1053" s="185">
        <f t="shared" si="79"/>
        <v>0.16933510251023262</v>
      </c>
      <c r="O1053" s="159">
        <f t="shared" si="80"/>
        <v>0.19908580854301616</v>
      </c>
      <c r="P1053" s="63" t="s">
        <v>870</v>
      </c>
    </row>
    <row r="1054" spans="1:20" s="808" customFormat="1" hidden="1">
      <c r="A1054" s="609" t="s">
        <v>437</v>
      </c>
      <c r="B1054" s="59" t="s">
        <v>498</v>
      </c>
      <c r="C1054" s="40" t="s">
        <v>139</v>
      </c>
      <c r="D1054" s="34" t="s">
        <v>99</v>
      </c>
      <c r="E1054" s="257">
        <f>0.85*0.4</f>
        <v>0.34</v>
      </c>
      <c r="F1054" s="34">
        <v>2</v>
      </c>
      <c r="G1054" s="40" t="s">
        <v>429</v>
      </c>
      <c r="H1054" s="29">
        <v>1</v>
      </c>
      <c r="I1054" s="9">
        <v>2</v>
      </c>
      <c r="J1054" s="9">
        <v>2</v>
      </c>
      <c r="K1054" s="9">
        <v>1</v>
      </c>
      <c r="L1054" s="9">
        <v>1</v>
      </c>
      <c r="M1054" s="9">
        <v>1</v>
      </c>
      <c r="N1054" s="185">
        <f t="shared" si="79"/>
        <v>0.16933510251023262</v>
      </c>
      <c r="O1054" s="159">
        <f t="shared" si="80"/>
        <v>0.19908580854301616</v>
      </c>
      <c r="P1054" s="63" t="s">
        <v>871</v>
      </c>
    </row>
    <row r="1055" spans="1:20" s="808" customFormat="1" hidden="1">
      <c r="A1055" s="609" t="s">
        <v>437</v>
      </c>
      <c r="B1055" s="59" t="s">
        <v>223</v>
      </c>
      <c r="C1055" s="40" t="s">
        <v>139</v>
      </c>
      <c r="D1055" s="34" t="s">
        <v>99</v>
      </c>
      <c r="E1055" s="257">
        <v>0.15</v>
      </c>
      <c r="F1055" s="34">
        <v>1</v>
      </c>
      <c r="G1055" s="40" t="s">
        <v>429</v>
      </c>
      <c r="H1055" s="29">
        <v>1</v>
      </c>
      <c r="I1055" s="9">
        <v>2</v>
      </c>
      <c r="J1055" s="9">
        <v>2</v>
      </c>
      <c r="K1055" s="9">
        <v>1</v>
      </c>
      <c r="L1055" s="9">
        <v>1</v>
      </c>
      <c r="M1055" s="9">
        <v>1</v>
      </c>
      <c r="N1055" s="185">
        <f t="shared" si="79"/>
        <v>0.16933510251023262</v>
      </c>
      <c r="O1055" s="159">
        <f t="shared" si="80"/>
        <v>0.19908580854301616</v>
      </c>
      <c r="P1055" s="63" t="s">
        <v>868</v>
      </c>
    </row>
    <row r="1056" spans="1:20" s="808" customFormat="1" hidden="1">
      <c r="A1056" s="609" t="s">
        <v>497</v>
      </c>
      <c r="B1056" s="59" t="s">
        <v>499</v>
      </c>
      <c r="C1056" s="40" t="s">
        <v>139</v>
      </c>
      <c r="D1056" s="34" t="s">
        <v>99</v>
      </c>
      <c r="E1056" s="257">
        <v>0.15</v>
      </c>
      <c r="F1056" s="34">
        <v>2</v>
      </c>
      <c r="G1056" s="40" t="s">
        <v>429</v>
      </c>
      <c r="H1056" s="29">
        <v>1</v>
      </c>
      <c r="I1056" s="9">
        <v>2</v>
      </c>
      <c r="J1056" s="9">
        <v>2</v>
      </c>
      <c r="K1056" s="9">
        <v>1</v>
      </c>
      <c r="L1056" s="9">
        <v>1</v>
      </c>
      <c r="M1056" s="9">
        <v>1</v>
      </c>
      <c r="N1056" s="185">
        <f t="shared" si="79"/>
        <v>0.16933510251023262</v>
      </c>
      <c r="O1056" s="159">
        <f t="shared" si="80"/>
        <v>0.19908580854301616</v>
      </c>
      <c r="P1056" s="63" t="s">
        <v>872</v>
      </c>
    </row>
    <row r="1057" spans="1:16" s="808" customFormat="1" hidden="1">
      <c r="A1057" s="609" t="s">
        <v>497</v>
      </c>
      <c r="B1057" s="59" t="s">
        <v>500</v>
      </c>
      <c r="C1057" s="40" t="s">
        <v>139</v>
      </c>
      <c r="D1057" s="34" t="s">
        <v>99</v>
      </c>
      <c r="E1057" s="257" t="s">
        <v>150</v>
      </c>
      <c r="F1057" s="34">
        <v>1</v>
      </c>
      <c r="G1057" s="40" t="s">
        <v>429</v>
      </c>
      <c r="H1057" s="29"/>
      <c r="I1057" s="9"/>
      <c r="J1057" s="9"/>
      <c r="K1057" s="9"/>
      <c r="L1057" s="9"/>
      <c r="M1057" s="9"/>
      <c r="N1057" s="185" t="str">
        <f t="shared" si="79"/>
        <v/>
      </c>
      <c r="O1057" s="159" t="str">
        <f t="shared" si="80"/>
        <v/>
      </c>
      <c r="P1057" s="63" t="s">
        <v>1948</v>
      </c>
    </row>
    <row r="1058" spans="1:16" s="808" customFormat="1" hidden="1">
      <c r="A1058" s="609" t="s">
        <v>499</v>
      </c>
      <c r="B1058" s="59" t="s">
        <v>231</v>
      </c>
      <c r="C1058" s="40" t="s">
        <v>139</v>
      </c>
      <c r="D1058" s="34" t="s">
        <v>99</v>
      </c>
      <c r="E1058" s="257">
        <v>0.05</v>
      </c>
      <c r="F1058" s="34">
        <v>2</v>
      </c>
      <c r="G1058" s="40" t="s">
        <v>157</v>
      </c>
      <c r="H1058" s="29">
        <v>1</v>
      </c>
      <c r="I1058" s="9">
        <v>2</v>
      </c>
      <c r="J1058" s="9">
        <v>2</v>
      </c>
      <c r="K1058" s="9">
        <v>1</v>
      </c>
      <c r="L1058" s="9">
        <v>3</v>
      </c>
      <c r="M1058" s="9">
        <v>3</v>
      </c>
      <c r="N1058" s="185">
        <f t="shared" si="79"/>
        <v>1.0725046436742278</v>
      </c>
      <c r="O1058" s="159">
        <f t="shared" si="80"/>
        <v>1.0776024280428556</v>
      </c>
      <c r="P1058" s="63" t="s">
        <v>1933</v>
      </c>
    </row>
    <row r="1059" spans="1:16" s="808" customFormat="1" hidden="1">
      <c r="A1059" s="609" t="s">
        <v>499</v>
      </c>
      <c r="B1059" s="59" t="s">
        <v>232</v>
      </c>
      <c r="C1059" s="40" t="s">
        <v>139</v>
      </c>
      <c r="D1059" s="34" t="s">
        <v>99</v>
      </c>
      <c r="E1059" s="257">
        <v>0.39400000000000002</v>
      </c>
      <c r="F1059" s="34">
        <v>2</v>
      </c>
      <c r="G1059" s="40" t="s">
        <v>429</v>
      </c>
      <c r="H1059" s="29">
        <v>1</v>
      </c>
      <c r="I1059" s="9">
        <v>2</v>
      </c>
      <c r="J1059" s="9">
        <v>2</v>
      </c>
      <c r="K1059" s="9">
        <v>1</v>
      </c>
      <c r="L1059" s="9">
        <v>1</v>
      </c>
      <c r="M1059" s="9">
        <v>1</v>
      </c>
      <c r="N1059" s="185">
        <f t="shared" si="79"/>
        <v>0.16933510251023262</v>
      </c>
      <c r="O1059" s="159">
        <f t="shared" si="80"/>
        <v>0.19908580854301616</v>
      </c>
      <c r="P1059" s="63" t="s">
        <v>1957</v>
      </c>
    </row>
    <row r="1060" spans="1:16" s="808" customFormat="1" hidden="1">
      <c r="A1060" s="609" t="s">
        <v>499</v>
      </c>
      <c r="B1060" s="59" t="s">
        <v>251</v>
      </c>
      <c r="C1060" s="40" t="s">
        <v>139</v>
      </c>
      <c r="D1060" s="34" t="s">
        <v>99</v>
      </c>
      <c r="E1060" s="257">
        <v>0.52200000000000002</v>
      </c>
      <c r="F1060" s="34">
        <v>1</v>
      </c>
      <c r="G1060" s="40" t="s">
        <v>429</v>
      </c>
      <c r="H1060" s="29">
        <v>1</v>
      </c>
      <c r="I1060" s="9">
        <v>2</v>
      </c>
      <c r="J1060" s="9">
        <v>2</v>
      </c>
      <c r="K1060" s="9">
        <v>1</v>
      </c>
      <c r="L1060" s="9">
        <v>1</v>
      </c>
      <c r="M1060" s="9">
        <v>1</v>
      </c>
      <c r="N1060" s="185">
        <f t="shared" si="79"/>
        <v>0.16933510251023262</v>
      </c>
      <c r="O1060" s="159">
        <f t="shared" si="80"/>
        <v>0.19908580854301616</v>
      </c>
      <c r="P1060" s="63" t="s">
        <v>1958</v>
      </c>
    </row>
    <row r="1061" spans="1:16" s="808" customFormat="1" hidden="1">
      <c r="A1061" s="609" t="s">
        <v>499</v>
      </c>
      <c r="B1061" s="59" t="s">
        <v>258</v>
      </c>
      <c r="C1061" s="40" t="s">
        <v>139</v>
      </c>
      <c r="D1061" s="34" t="s">
        <v>99</v>
      </c>
      <c r="E1061" s="257">
        <v>3.4000000000000002E-2</v>
      </c>
      <c r="F1061" s="34">
        <v>2</v>
      </c>
      <c r="G1061" s="40" t="s">
        <v>429</v>
      </c>
      <c r="H1061" s="29">
        <v>1</v>
      </c>
      <c r="I1061" s="9">
        <v>2</v>
      </c>
      <c r="J1061" s="9">
        <v>2</v>
      </c>
      <c r="K1061" s="9">
        <v>1</v>
      </c>
      <c r="L1061" s="9">
        <v>1</v>
      </c>
      <c r="M1061" s="9">
        <v>1</v>
      </c>
      <c r="N1061" s="185"/>
      <c r="O1061" s="159"/>
      <c r="P1061" s="63" t="s">
        <v>1959</v>
      </c>
    </row>
    <row r="1062" spans="1:16" s="808" customFormat="1" hidden="1">
      <c r="A1062" s="609" t="s">
        <v>498</v>
      </c>
      <c r="B1062" s="59" t="s">
        <v>501</v>
      </c>
      <c r="C1062" s="40" t="s">
        <v>139</v>
      </c>
      <c r="D1062" s="34" t="s">
        <v>99</v>
      </c>
      <c r="E1062" s="257">
        <f>0.1*E1056</f>
        <v>1.4999999999999999E-2</v>
      </c>
      <c r="F1062" s="34">
        <v>2</v>
      </c>
      <c r="G1062" s="40" t="s">
        <v>429</v>
      </c>
      <c r="H1062" s="29">
        <v>1</v>
      </c>
      <c r="I1062" s="9">
        <v>2</v>
      </c>
      <c r="J1062" s="9">
        <v>2</v>
      </c>
      <c r="K1062" s="9">
        <v>1</v>
      </c>
      <c r="L1062" s="9">
        <v>1</v>
      </c>
      <c r="M1062" s="9">
        <v>1</v>
      </c>
      <c r="N1062" s="185">
        <f t="shared" ref="N1062:N1079" si="81">IF( OR( ISBLANK(H1062),ISBLANK(J1062), ISBLANK(K1062), ISBLANK(L1062), ISBLANK(M1062) ), "", 1.5*SQRT(   EXP(2.21*(H1062-1)) + EXP(2.21*(J1062-1)) + EXP(2.21*(K1062-1)) + EXP(2.21*(L1062-1)) + EXP(2.21*M1062)   )/100*2.45 )</f>
        <v>0.16933510251023262</v>
      </c>
      <c r="O1062" s="159">
        <f t="shared" ref="O1062:O1079" si="82">IF( OR( ISBLANK(I1062),ISBLANK(J1062), ISBLANK(K1062), ISBLANK(L1062), ISBLANK(M1062) ), "", 1.5*SQRT( EXP(2.21*(I1062-1)) + EXP(2.21*(J1062-1)) + EXP(2.21*(K1062-1)) + EXP(2.21*(L1062-1)) + EXP(2.21*M1062)   )/100*2.45 )</f>
        <v>0.19908580854301616</v>
      </c>
      <c r="P1062" s="63" t="s">
        <v>852</v>
      </c>
    </row>
    <row r="1063" spans="1:16" s="808" customFormat="1" hidden="1">
      <c r="A1063" s="609" t="s">
        <v>498</v>
      </c>
      <c r="B1063" s="59" t="s">
        <v>502</v>
      </c>
      <c r="C1063" s="40" t="s">
        <v>139</v>
      </c>
      <c r="D1063" s="34" t="s">
        <v>99</v>
      </c>
      <c r="E1063" s="257" t="s">
        <v>150</v>
      </c>
      <c r="F1063" s="34">
        <v>1</v>
      </c>
      <c r="G1063" s="40" t="s">
        <v>429</v>
      </c>
      <c r="H1063" s="29"/>
      <c r="I1063" s="9"/>
      <c r="J1063" s="9"/>
      <c r="K1063" s="9"/>
      <c r="L1063" s="9"/>
      <c r="M1063" s="9"/>
      <c r="N1063" s="185" t="str">
        <f t="shared" si="81"/>
        <v/>
      </c>
      <c r="O1063" s="159" t="str">
        <f t="shared" si="82"/>
        <v/>
      </c>
      <c r="P1063" s="63" t="s">
        <v>1948</v>
      </c>
    </row>
    <row r="1064" spans="1:16" s="808" customFormat="1" hidden="1">
      <c r="A1064" s="609" t="s">
        <v>501</v>
      </c>
      <c r="B1064" s="59" t="s">
        <v>228</v>
      </c>
      <c r="C1064" s="40" t="s">
        <v>139</v>
      </c>
      <c r="D1064" s="34" t="s">
        <v>99</v>
      </c>
      <c r="E1064" s="257">
        <v>1</v>
      </c>
      <c r="F1064" s="34">
        <v>2</v>
      </c>
      <c r="G1064" s="40" t="s">
        <v>429</v>
      </c>
      <c r="H1064" s="29">
        <v>1</v>
      </c>
      <c r="I1064" s="9">
        <v>2</v>
      </c>
      <c r="J1064" s="9">
        <v>2</v>
      </c>
      <c r="K1064" s="9">
        <v>1</v>
      </c>
      <c r="L1064" s="9">
        <v>1</v>
      </c>
      <c r="M1064" s="9">
        <v>1</v>
      </c>
      <c r="N1064" s="185">
        <f t="shared" si="81"/>
        <v>0.16933510251023262</v>
      </c>
      <c r="O1064" s="159">
        <f t="shared" si="82"/>
        <v>0.19908580854301616</v>
      </c>
      <c r="P1064" s="63" t="s">
        <v>853</v>
      </c>
    </row>
    <row r="1065" spans="1:16" s="808" customFormat="1" hidden="1">
      <c r="A1065" s="609" t="s">
        <v>500</v>
      </c>
      <c r="B1065" s="59" t="s">
        <v>231</v>
      </c>
      <c r="C1065" s="40" t="s">
        <v>139</v>
      </c>
      <c r="D1065" s="34" t="s">
        <v>99</v>
      </c>
      <c r="E1065" s="257">
        <v>0</v>
      </c>
      <c r="F1065" s="34">
        <v>2</v>
      </c>
      <c r="G1065" s="40" t="s">
        <v>429</v>
      </c>
      <c r="H1065" s="29">
        <v>1</v>
      </c>
      <c r="I1065" s="9">
        <v>2</v>
      </c>
      <c r="J1065" s="9">
        <v>2</v>
      </c>
      <c r="K1065" s="9">
        <v>1</v>
      </c>
      <c r="L1065" s="9">
        <v>1</v>
      </c>
      <c r="M1065" s="9">
        <v>1</v>
      </c>
      <c r="N1065" s="185">
        <f t="shared" si="81"/>
        <v>0.16933510251023262</v>
      </c>
      <c r="O1065" s="159">
        <f t="shared" si="82"/>
        <v>0.19908580854301616</v>
      </c>
      <c r="P1065" s="63" t="s">
        <v>1962</v>
      </c>
    </row>
    <row r="1066" spans="1:16" s="808" customFormat="1" hidden="1">
      <c r="A1066" s="609" t="s">
        <v>500</v>
      </c>
      <c r="B1066" s="59" t="s">
        <v>232</v>
      </c>
      <c r="C1066" s="40" t="s">
        <v>139</v>
      </c>
      <c r="D1066" s="34" t="s">
        <v>99</v>
      </c>
      <c r="E1066" s="257">
        <v>0</v>
      </c>
      <c r="F1066" s="34">
        <v>2</v>
      </c>
      <c r="G1066" s="40" t="s">
        <v>429</v>
      </c>
      <c r="H1066" s="29">
        <v>1</v>
      </c>
      <c r="I1066" s="9">
        <v>2</v>
      </c>
      <c r="J1066" s="9">
        <v>2</v>
      </c>
      <c r="K1066" s="9">
        <v>1</v>
      </c>
      <c r="L1066" s="9">
        <v>1</v>
      </c>
      <c r="M1066" s="9">
        <v>1</v>
      </c>
      <c r="N1066" s="185">
        <f t="shared" si="81"/>
        <v>0.16933510251023262</v>
      </c>
      <c r="O1066" s="159">
        <f t="shared" si="82"/>
        <v>0.19908580854301616</v>
      </c>
      <c r="P1066" s="63" t="s">
        <v>1962</v>
      </c>
    </row>
    <row r="1067" spans="1:16" s="808" customFormat="1" hidden="1">
      <c r="A1067" s="609" t="s">
        <v>500</v>
      </c>
      <c r="B1067" s="59" t="s">
        <v>251</v>
      </c>
      <c r="C1067" s="40" t="s">
        <v>139</v>
      </c>
      <c r="D1067" s="34" t="s">
        <v>99</v>
      </c>
      <c r="E1067" s="257">
        <v>0</v>
      </c>
      <c r="F1067" s="34">
        <v>2</v>
      </c>
      <c r="G1067" s="40" t="s">
        <v>429</v>
      </c>
      <c r="H1067" s="29">
        <v>1</v>
      </c>
      <c r="I1067" s="9">
        <v>2</v>
      </c>
      <c r="J1067" s="9">
        <v>2</v>
      </c>
      <c r="K1067" s="9">
        <v>1</v>
      </c>
      <c r="L1067" s="9">
        <v>1</v>
      </c>
      <c r="M1067" s="9">
        <v>1</v>
      </c>
      <c r="N1067" s="185">
        <f t="shared" si="81"/>
        <v>0.16933510251023262</v>
      </c>
      <c r="O1067" s="159">
        <f t="shared" si="82"/>
        <v>0.19908580854301616</v>
      </c>
      <c r="P1067" s="63" t="s">
        <v>1962</v>
      </c>
    </row>
    <row r="1068" spans="1:16" s="808" customFormat="1" hidden="1">
      <c r="A1068" s="609" t="s">
        <v>500</v>
      </c>
      <c r="B1068" s="59" t="s">
        <v>258</v>
      </c>
      <c r="C1068" s="40" t="s">
        <v>139</v>
      </c>
      <c r="D1068" s="34" t="s">
        <v>99</v>
      </c>
      <c r="E1068" s="257">
        <v>0</v>
      </c>
      <c r="F1068" s="34">
        <v>2</v>
      </c>
      <c r="G1068" s="40" t="s">
        <v>429</v>
      </c>
      <c r="H1068" s="29">
        <v>1</v>
      </c>
      <c r="I1068" s="9">
        <v>2</v>
      </c>
      <c r="J1068" s="9">
        <v>2</v>
      </c>
      <c r="K1068" s="9">
        <v>1</v>
      </c>
      <c r="L1068" s="9">
        <v>1</v>
      </c>
      <c r="M1068" s="9">
        <v>1</v>
      </c>
      <c r="N1068" s="185">
        <f t="shared" si="81"/>
        <v>0.16933510251023262</v>
      </c>
      <c r="O1068" s="159">
        <f t="shared" si="82"/>
        <v>0.19908580854301616</v>
      </c>
      <c r="P1068" s="63" t="s">
        <v>1962</v>
      </c>
    </row>
    <row r="1069" spans="1:16" s="808" customFormat="1" hidden="1">
      <c r="A1069" s="609" t="s">
        <v>500</v>
      </c>
      <c r="B1069" s="59" t="s">
        <v>333</v>
      </c>
      <c r="C1069" s="40" t="s">
        <v>139</v>
      </c>
      <c r="D1069" s="34" t="s">
        <v>99</v>
      </c>
      <c r="E1069" s="257" t="s">
        <v>150</v>
      </c>
      <c r="F1069" s="34">
        <v>1</v>
      </c>
      <c r="G1069" s="40" t="s">
        <v>429</v>
      </c>
      <c r="H1069" s="29"/>
      <c r="I1069" s="9"/>
      <c r="J1069" s="9"/>
      <c r="K1069" s="9"/>
      <c r="L1069" s="9"/>
      <c r="M1069" s="9"/>
      <c r="N1069" s="185" t="str">
        <f t="shared" si="81"/>
        <v/>
      </c>
      <c r="O1069" s="159" t="str">
        <f t="shared" si="82"/>
        <v/>
      </c>
      <c r="P1069" s="63"/>
    </row>
    <row r="1070" spans="1:16" s="808" customFormat="1" hidden="1">
      <c r="A1070" s="609" t="s">
        <v>502</v>
      </c>
      <c r="B1070" s="59" t="s">
        <v>228</v>
      </c>
      <c r="C1070" s="40" t="s">
        <v>139</v>
      </c>
      <c r="D1070" s="34" t="s">
        <v>99</v>
      </c>
      <c r="E1070" s="257">
        <v>0</v>
      </c>
      <c r="F1070" s="34">
        <v>2</v>
      </c>
      <c r="G1070" s="40" t="s">
        <v>429</v>
      </c>
      <c r="H1070" s="29">
        <v>1</v>
      </c>
      <c r="I1070" s="9">
        <v>2</v>
      </c>
      <c r="J1070" s="9">
        <v>2</v>
      </c>
      <c r="K1070" s="9">
        <v>1</v>
      </c>
      <c r="L1070" s="9">
        <v>1</v>
      </c>
      <c r="M1070" s="9">
        <v>1</v>
      </c>
      <c r="N1070" s="185">
        <f t="shared" si="81"/>
        <v>0.16933510251023262</v>
      </c>
      <c r="O1070" s="159">
        <f t="shared" si="82"/>
        <v>0.19908580854301616</v>
      </c>
      <c r="P1070" s="63" t="s">
        <v>854</v>
      </c>
    </row>
    <row r="1071" spans="1:16" s="808" customFormat="1" hidden="1">
      <c r="A1071" s="609" t="s">
        <v>502</v>
      </c>
      <c r="B1071" s="59" t="s">
        <v>333</v>
      </c>
      <c r="C1071" s="40" t="s">
        <v>139</v>
      </c>
      <c r="D1071" s="34" t="s">
        <v>99</v>
      </c>
      <c r="E1071" s="257" t="s">
        <v>150</v>
      </c>
      <c r="F1071" s="34">
        <v>1</v>
      </c>
      <c r="G1071" s="40" t="s">
        <v>429</v>
      </c>
      <c r="H1071" s="29">
        <v>1</v>
      </c>
      <c r="I1071" s="9">
        <v>2</v>
      </c>
      <c r="J1071" s="9">
        <v>2</v>
      </c>
      <c r="K1071" s="9">
        <v>1</v>
      </c>
      <c r="L1071" s="9">
        <v>1</v>
      </c>
      <c r="M1071" s="9">
        <v>1</v>
      </c>
      <c r="N1071" s="185">
        <f t="shared" si="81"/>
        <v>0.16933510251023262</v>
      </c>
      <c r="O1071" s="159">
        <f t="shared" si="82"/>
        <v>0.19908580854301616</v>
      </c>
      <c r="P1071" s="63" t="s">
        <v>1949</v>
      </c>
    </row>
    <row r="1072" spans="1:16" s="808" customFormat="1" hidden="1">
      <c r="A1072" s="609" t="s">
        <v>438</v>
      </c>
      <c r="B1072" s="59" t="s">
        <v>503</v>
      </c>
      <c r="C1072" s="40" t="s">
        <v>139</v>
      </c>
      <c r="D1072" s="34" t="s">
        <v>99</v>
      </c>
      <c r="E1072" s="257">
        <v>0</v>
      </c>
      <c r="F1072" s="34">
        <v>2</v>
      </c>
      <c r="G1072" s="40" t="s">
        <v>429</v>
      </c>
      <c r="H1072" s="29">
        <v>1</v>
      </c>
      <c r="I1072" s="9">
        <v>2</v>
      </c>
      <c r="J1072" s="9">
        <v>2</v>
      </c>
      <c r="K1072" s="9">
        <v>1</v>
      </c>
      <c r="L1072" s="9">
        <v>1</v>
      </c>
      <c r="M1072" s="9">
        <v>1</v>
      </c>
      <c r="N1072" s="185">
        <f t="shared" si="81"/>
        <v>0.16933510251023262</v>
      </c>
      <c r="O1072" s="159">
        <f t="shared" si="82"/>
        <v>0.19908580854301616</v>
      </c>
      <c r="P1072" s="63" t="s">
        <v>873</v>
      </c>
    </row>
    <row r="1073" spans="1:16" s="808" customFormat="1" hidden="1">
      <c r="A1073" s="609" t="s">
        <v>438</v>
      </c>
      <c r="B1073" s="59" t="s">
        <v>504</v>
      </c>
      <c r="C1073" s="40" t="s">
        <v>139</v>
      </c>
      <c r="D1073" s="34" t="s">
        <v>99</v>
      </c>
      <c r="E1073" s="257">
        <v>0.85</v>
      </c>
      <c r="F1073" s="34">
        <v>2</v>
      </c>
      <c r="G1073" s="40" t="s">
        <v>429</v>
      </c>
      <c r="H1073" s="29">
        <v>1</v>
      </c>
      <c r="I1073" s="9">
        <v>2</v>
      </c>
      <c r="J1073" s="9">
        <v>2</v>
      </c>
      <c r="K1073" s="9">
        <v>1</v>
      </c>
      <c r="L1073" s="9">
        <v>1</v>
      </c>
      <c r="M1073" s="9">
        <v>1</v>
      </c>
      <c r="N1073" s="185">
        <f t="shared" si="81"/>
        <v>0.16933510251023262</v>
      </c>
      <c r="O1073" s="159">
        <f t="shared" si="82"/>
        <v>0.19908580854301616</v>
      </c>
      <c r="P1073" s="63" t="s">
        <v>874</v>
      </c>
    </row>
    <row r="1074" spans="1:16" s="808" customFormat="1" hidden="1">
      <c r="A1074" s="609" t="s">
        <v>438</v>
      </c>
      <c r="B1074" s="59" t="s">
        <v>223</v>
      </c>
      <c r="C1074" s="40" t="s">
        <v>139</v>
      </c>
      <c r="D1074" s="34" t="s">
        <v>99</v>
      </c>
      <c r="E1074" s="257">
        <v>0.15</v>
      </c>
      <c r="F1074" s="34">
        <v>1</v>
      </c>
      <c r="G1074" s="40" t="s">
        <v>429</v>
      </c>
      <c r="H1074" s="29">
        <v>1</v>
      </c>
      <c r="I1074" s="9">
        <v>2</v>
      </c>
      <c r="J1074" s="9">
        <v>2</v>
      </c>
      <c r="K1074" s="9">
        <v>1</v>
      </c>
      <c r="L1074" s="9">
        <v>1</v>
      </c>
      <c r="M1074" s="9">
        <v>1</v>
      </c>
      <c r="N1074" s="185">
        <f t="shared" si="81"/>
        <v>0.16933510251023262</v>
      </c>
      <c r="O1074" s="159">
        <f t="shared" si="82"/>
        <v>0.19908580854301616</v>
      </c>
      <c r="P1074" s="63" t="s">
        <v>868</v>
      </c>
    </row>
    <row r="1075" spans="1:16" s="808" customFormat="1" hidden="1">
      <c r="A1075" s="609" t="s">
        <v>503</v>
      </c>
      <c r="B1075" s="59" t="s">
        <v>506</v>
      </c>
      <c r="C1075" s="40" t="s">
        <v>139</v>
      </c>
      <c r="D1075" s="34" t="s">
        <v>99</v>
      </c>
      <c r="E1075" s="257">
        <v>0.03</v>
      </c>
      <c r="F1075" s="34">
        <v>2</v>
      </c>
      <c r="G1075" s="40" t="s">
        <v>429</v>
      </c>
      <c r="H1075" s="29">
        <v>1</v>
      </c>
      <c r="I1075" s="9">
        <v>2</v>
      </c>
      <c r="J1075" s="9">
        <v>2</v>
      </c>
      <c r="K1075" s="9">
        <v>1</v>
      </c>
      <c r="L1075" s="9">
        <v>1</v>
      </c>
      <c r="M1075" s="9">
        <v>1</v>
      </c>
      <c r="N1075" s="185">
        <f t="shared" si="81"/>
        <v>0.16933510251023262</v>
      </c>
      <c r="O1075" s="159">
        <f t="shared" si="82"/>
        <v>0.19908580854301616</v>
      </c>
      <c r="P1075" s="63" t="s">
        <v>851</v>
      </c>
    </row>
    <row r="1076" spans="1:16" s="808" customFormat="1" hidden="1">
      <c r="A1076" s="609" t="s">
        <v>503</v>
      </c>
      <c r="B1076" s="59" t="s">
        <v>507</v>
      </c>
      <c r="C1076" s="40" t="s">
        <v>139</v>
      </c>
      <c r="D1076" s="34" t="s">
        <v>99</v>
      </c>
      <c r="E1076" s="257" t="s">
        <v>150</v>
      </c>
      <c r="F1076" s="34">
        <v>1</v>
      </c>
      <c r="G1076" s="40" t="s">
        <v>429</v>
      </c>
      <c r="H1076" s="29"/>
      <c r="I1076" s="9"/>
      <c r="J1076" s="9"/>
      <c r="K1076" s="9"/>
      <c r="L1076" s="9"/>
      <c r="M1076" s="9"/>
      <c r="N1076" s="185" t="str">
        <f t="shared" si="81"/>
        <v/>
      </c>
      <c r="O1076" s="159" t="str">
        <f t="shared" si="82"/>
        <v/>
      </c>
      <c r="P1076" s="63" t="s">
        <v>1950</v>
      </c>
    </row>
    <row r="1077" spans="1:16" s="808" customFormat="1" hidden="1">
      <c r="A1077" s="609" t="s">
        <v>506</v>
      </c>
      <c r="B1077" s="59" t="s">
        <v>231</v>
      </c>
      <c r="C1077" s="40" t="s">
        <v>139</v>
      </c>
      <c r="D1077" s="34" t="s">
        <v>99</v>
      </c>
      <c r="E1077" s="257">
        <v>0.05</v>
      </c>
      <c r="F1077" s="34">
        <v>2</v>
      </c>
      <c r="G1077" s="40" t="s">
        <v>157</v>
      </c>
      <c r="H1077" s="29">
        <v>1</v>
      </c>
      <c r="I1077" s="9">
        <v>2</v>
      </c>
      <c r="J1077" s="9">
        <v>2</v>
      </c>
      <c r="K1077" s="9">
        <v>1</v>
      </c>
      <c r="L1077" s="9">
        <v>3</v>
      </c>
      <c r="M1077" s="9">
        <v>3</v>
      </c>
      <c r="N1077" s="185">
        <f t="shared" si="81"/>
        <v>1.0725046436742278</v>
      </c>
      <c r="O1077" s="159">
        <f t="shared" si="82"/>
        <v>1.0776024280428556</v>
      </c>
      <c r="P1077" s="63" t="s">
        <v>1933</v>
      </c>
    </row>
    <row r="1078" spans="1:16" s="808" customFormat="1" hidden="1">
      <c r="A1078" s="609" t="s">
        <v>506</v>
      </c>
      <c r="B1078" s="59" t="s">
        <v>232</v>
      </c>
      <c r="C1078" s="40" t="s">
        <v>139</v>
      </c>
      <c r="D1078" s="34" t="s">
        <v>99</v>
      </c>
      <c r="E1078" s="257">
        <v>0.39400000000000002</v>
      </c>
      <c r="F1078" s="34">
        <v>2</v>
      </c>
      <c r="G1078" s="40" t="s">
        <v>429</v>
      </c>
      <c r="H1078" s="29">
        <v>1</v>
      </c>
      <c r="I1078" s="9">
        <v>2</v>
      </c>
      <c r="J1078" s="9">
        <v>2</v>
      </c>
      <c r="K1078" s="9">
        <v>1</v>
      </c>
      <c r="L1078" s="9">
        <v>1</v>
      </c>
      <c r="M1078" s="9">
        <v>1</v>
      </c>
      <c r="N1078" s="185">
        <f t="shared" si="81"/>
        <v>0.16933510251023262</v>
      </c>
      <c r="O1078" s="159">
        <f t="shared" si="82"/>
        <v>0.19908580854301616</v>
      </c>
      <c r="P1078" s="63" t="s">
        <v>1957</v>
      </c>
    </row>
    <row r="1079" spans="1:16" s="808" customFormat="1" hidden="1">
      <c r="A1079" s="609" t="s">
        <v>506</v>
      </c>
      <c r="B1079" s="59" t="s">
        <v>251</v>
      </c>
      <c r="C1079" s="40" t="s">
        <v>139</v>
      </c>
      <c r="D1079" s="34" t="s">
        <v>99</v>
      </c>
      <c r="E1079" s="257">
        <v>0.52200000000000002</v>
      </c>
      <c r="F1079" s="34">
        <v>1</v>
      </c>
      <c r="G1079" s="40" t="s">
        <v>429</v>
      </c>
      <c r="H1079" s="29">
        <v>1</v>
      </c>
      <c r="I1079" s="9">
        <v>2</v>
      </c>
      <c r="J1079" s="9">
        <v>2</v>
      </c>
      <c r="K1079" s="9">
        <v>1</v>
      </c>
      <c r="L1079" s="9">
        <v>1</v>
      </c>
      <c r="M1079" s="9">
        <v>1</v>
      </c>
      <c r="N1079" s="185">
        <f t="shared" si="81"/>
        <v>0.16933510251023262</v>
      </c>
      <c r="O1079" s="159">
        <f t="shared" si="82"/>
        <v>0.19908580854301616</v>
      </c>
      <c r="P1079" s="63" t="s">
        <v>1958</v>
      </c>
    </row>
    <row r="1080" spans="1:16" s="808" customFormat="1" hidden="1">
      <c r="A1080" s="609" t="s">
        <v>506</v>
      </c>
      <c r="B1080" s="59" t="s">
        <v>258</v>
      </c>
      <c r="C1080" s="40" t="s">
        <v>139</v>
      </c>
      <c r="D1080" s="34" t="s">
        <v>99</v>
      </c>
      <c r="E1080" s="257">
        <v>3.4000000000000002E-2</v>
      </c>
      <c r="F1080" s="34">
        <v>2</v>
      </c>
      <c r="G1080" s="40" t="s">
        <v>429</v>
      </c>
      <c r="H1080" s="29">
        <v>1</v>
      </c>
      <c r="I1080" s="9">
        <v>2</v>
      </c>
      <c r="J1080" s="9">
        <v>2</v>
      </c>
      <c r="K1080" s="9">
        <v>1</v>
      </c>
      <c r="L1080" s="9">
        <v>1</v>
      </c>
      <c r="M1080" s="9">
        <v>1</v>
      </c>
      <c r="N1080" s="185"/>
      <c r="O1080" s="159"/>
      <c r="P1080" s="63" t="s">
        <v>1959</v>
      </c>
    </row>
    <row r="1081" spans="1:16" s="808" customFormat="1" hidden="1">
      <c r="A1081" s="609" t="s">
        <v>504</v>
      </c>
      <c r="B1081" s="59" t="s">
        <v>508</v>
      </c>
      <c r="C1081" s="40" t="s">
        <v>139</v>
      </c>
      <c r="D1081" s="34" t="s">
        <v>99</v>
      </c>
      <c r="E1081" s="257" t="s">
        <v>150</v>
      </c>
      <c r="F1081" s="34">
        <v>1</v>
      </c>
      <c r="G1081" s="40" t="s">
        <v>429</v>
      </c>
      <c r="H1081" s="29">
        <v>1</v>
      </c>
      <c r="I1081" s="9">
        <v>2</v>
      </c>
      <c r="J1081" s="9">
        <v>2</v>
      </c>
      <c r="K1081" s="9">
        <v>1</v>
      </c>
      <c r="L1081" s="9">
        <v>1</v>
      </c>
      <c r="M1081" s="9">
        <v>1</v>
      </c>
      <c r="N1081" s="185">
        <f t="shared" ref="N1081:N1101" si="83">IF( OR( ISBLANK(H1081),ISBLANK(J1081), ISBLANK(K1081), ISBLANK(L1081), ISBLANK(M1081) ), "", 1.5*SQRT(   EXP(2.21*(H1081-1)) + EXP(2.21*(J1081-1)) + EXP(2.21*(K1081-1)) + EXP(2.21*(L1081-1)) + EXP(2.21*M1081)   )/100*2.45 )</f>
        <v>0.16933510251023262</v>
      </c>
      <c r="O1081" s="159">
        <f t="shared" ref="O1081:O1101" si="84">IF( OR( ISBLANK(I1081),ISBLANK(J1081), ISBLANK(K1081), ISBLANK(L1081), ISBLANK(M1081) ), "", 1.5*SQRT( EXP(2.21*(I1081-1)) + EXP(2.21*(J1081-1)) + EXP(2.21*(K1081-1)) + EXP(2.21*(L1081-1)) + EXP(2.21*M1081)   )/100*2.45 )</f>
        <v>0.19908580854301616</v>
      </c>
      <c r="P1081" s="63" t="s">
        <v>1951</v>
      </c>
    </row>
    <row r="1082" spans="1:16" s="808" customFormat="1" hidden="1">
      <c r="A1082" s="609" t="s">
        <v>504</v>
      </c>
      <c r="B1082" s="59" t="s">
        <v>509</v>
      </c>
      <c r="C1082" s="40" t="s">
        <v>139</v>
      </c>
      <c r="D1082" s="34" t="s">
        <v>99</v>
      </c>
      <c r="E1082" s="257">
        <f>0.016*0.091</f>
        <v>1.456E-3</v>
      </c>
      <c r="F1082" s="34">
        <v>2</v>
      </c>
      <c r="G1082" s="40" t="s">
        <v>429</v>
      </c>
      <c r="H1082" s="29">
        <v>1</v>
      </c>
      <c r="I1082" s="9">
        <v>2</v>
      </c>
      <c r="J1082" s="9">
        <v>2</v>
      </c>
      <c r="K1082" s="9">
        <v>1</v>
      </c>
      <c r="L1082" s="9">
        <v>1</v>
      </c>
      <c r="M1082" s="9">
        <v>1</v>
      </c>
      <c r="N1082" s="185">
        <f t="shared" si="83"/>
        <v>0.16933510251023262</v>
      </c>
      <c r="O1082" s="159">
        <f t="shared" si="84"/>
        <v>0.19908580854301616</v>
      </c>
      <c r="P1082" s="63" t="s">
        <v>875</v>
      </c>
    </row>
    <row r="1083" spans="1:16" s="808" customFormat="1" hidden="1">
      <c r="A1083" s="609" t="s">
        <v>508</v>
      </c>
      <c r="B1083" s="59" t="s">
        <v>510</v>
      </c>
      <c r="C1083" s="40" t="s">
        <v>139</v>
      </c>
      <c r="D1083" s="34" t="s">
        <v>99</v>
      </c>
      <c r="E1083" s="257">
        <f>0.1*E1075</f>
        <v>3.0000000000000001E-3</v>
      </c>
      <c r="F1083" s="34">
        <v>2</v>
      </c>
      <c r="G1083" s="40" t="s">
        <v>429</v>
      </c>
      <c r="H1083" s="29">
        <v>1</v>
      </c>
      <c r="I1083" s="9">
        <v>2</v>
      </c>
      <c r="J1083" s="9">
        <v>2</v>
      </c>
      <c r="K1083" s="9">
        <v>1</v>
      </c>
      <c r="L1083" s="9">
        <v>1</v>
      </c>
      <c r="M1083" s="9">
        <v>1</v>
      </c>
      <c r="N1083" s="185">
        <f t="shared" si="83"/>
        <v>0.16933510251023262</v>
      </c>
      <c r="O1083" s="159">
        <f t="shared" si="84"/>
        <v>0.19908580854301616</v>
      </c>
      <c r="P1083" s="63" t="s">
        <v>852</v>
      </c>
    </row>
    <row r="1084" spans="1:16" s="808" customFormat="1" hidden="1">
      <c r="A1084" s="609" t="s">
        <v>508</v>
      </c>
      <c r="B1084" s="59" t="s">
        <v>505</v>
      </c>
      <c r="C1084" s="40" t="s">
        <v>139</v>
      </c>
      <c r="D1084" s="34" t="s">
        <v>99</v>
      </c>
      <c r="E1084" s="257" t="s">
        <v>150</v>
      </c>
      <c r="F1084" s="34">
        <v>1</v>
      </c>
      <c r="G1084" s="40" t="s">
        <v>429</v>
      </c>
      <c r="H1084" s="29"/>
      <c r="I1084" s="9"/>
      <c r="J1084" s="9"/>
      <c r="K1084" s="9"/>
      <c r="L1084" s="9"/>
      <c r="M1084" s="9"/>
      <c r="N1084" s="185" t="str">
        <f t="shared" si="83"/>
        <v/>
      </c>
      <c r="O1084" s="159" t="str">
        <f t="shared" si="84"/>
        <v/>
      </c>
      <c r="P1084" s="63" t="s">
        <v>1952</v>
      </c>
    </row>
    <row r="1085" spans="1:16" s="808" customFormat="1" hidden="1">
      <c r="A1085" s="609" t="s">
        <v>510</v>
      </c>
      <c r="B1085" s="59" t="s">
        <v>228</v>
      </c>
      <c r="C1085" s="40" t="s">
        <v>139</v>
      </c>
      <c r="D1085" s="34" t="s">
        <v>99</v>
      </c>
      <c r="E1085" s="257">
        <v>1</v>
      </c>
      <c r="F1085" s="34">
        <v>2</v>
      </c>
      <c r="G1085" s="40" t="s">
        <v>429</v>
      </c>
      <c r="H1085" s="29">
        <v>1</v>
      </c>
      <c r="I1085" s="9">
        <v>2</v>
      </c>
      <c r="J1085" s="9">
        <v>2</v>
      </c>
      <c r="K1085" s="9">
        <v>1</v>
      </c>
      <c r="L1085" s="9">
        <v>1</v>
      </c>
      <c r="M1085" s="9">
        <v>1</v>
      </c>
      <c r="N1085" s="185">
        <f t="shared" si="83"/>
        <v>0.16933510251023262</v>
      </c>
      <c r="O1085" s="159">
        <f t="shared" si="84"/>
        <v>0.19908580854301616</v>
      </c>
      <c r="P1085" s="63" t="s">
        <v>853</v>
      </c>
    </row>
    <row r="1086" spans="1:16" s="808" customFormat="1" hidden="1">
      <c r="A1086" s="609" t="s">
        <v>509</v>
      </c>
      <c r="B1086" s="59" t="s">
        <v>232</v>
      </c>
      <c r="C1086" s="40" t="s">
        <v>139</v>
      </c>
      <c r="D1086" s="34" t="s">
        <v>99</v>
      </c>
      <c r="E1086" s="257">
        <v>1</v>
      </c>
      <c r="F1086" s="34">
        <v>1</v>
      </c>
      <c r="G1086" s="40" t="s">
        <v>429</v>
      </c>
      <c r="H1086" s="29">
        <v>1</v>
      </c>
      <c r="I1086" s="9">
        <v>2</v>
      </c>
      <c r="J1086" s="9">
        <v>2</v>
      </c>
      <c r="K1086" s="9">
        <v>1</v>
      </c>
      <c r="L1086" s="9">
        <v>1</v>
      </c>
      <c r="M1086" s="9">
        <v>1</v>
      </c>
      <c r="N1086" s="185">
        <f t="shared" si="83"/>
        <v>0.16933510251023262</v>
      </c>
      <c r="O1086" s="159">
        <f t="shared" si="84"/>
        <v>0.19908580854301616</v>
      </c>
      <c r="P1086" s="63" t="s">
        <v>853</v>
      </c>
    </row>
    <row r="1087" spans="1:16" s="808" customFormat="1" hidden="1">
      <c r="A1087" s="609" t="s">
        <v>507</v>
      </c>
      <c r="B1087" s="59" t="s">
        <v>231</v>
      </c>
      <c r="C1087" s="40" t="s">
        <v>139</v>
      </c>
      <c r="D1087" s="34" t="s">
        <v>99</v>
      </c>
      <c r="E1087" s="257">
        <v>0</v>
      </c>
      <c r="F1087" s="34">
        <v>2</v>
      </c>
      <c r="G1087" s="40" t="s">
        <v>429</v>
      </c>
      <c r="H1087" s="29">
        <v>1</v>
      </c>
      <c r="I1087" s="9">
        <v>2</v>
      </c>
      <c r="J1087" s="9">
        <v>2</v>
      </c>
      <c r="K1087" s="9">
        <v>1</v>
      </c>
      <c r="L1087" s="9">
        <v>1</v>
      </c>
      <c r="M1087" s="9">
        <v>1</v>
      </c>
      <c r="N1087" s="185">
        <f t="shared" si="83"/>
        <v>0.16933510251023262</v>
      </c>
      <c r="O1087" s="159">
        <f t="shared" si="84"/>
        <v>0.19908580854301616</v>
      </c>
      <c r="P1087" s="63" t="s">
        <v>1961</v>
      </c>
    </row>
    <row r="1088" spans="1:16" s="808" customFormat="1" hidden="1">
      <c r="A1088" s="609" t="s">
        <v>507</v>
      </c>
      <c r="B1088" s="59" t="s">
        <v>232</v>
      </c>
      <c r="C1088" s="40" t="s">
        <v>139</v>
      </c>
      <c r="D1088" s="34" t="s">
        <v>99</v>
      </c>
      <c r="E1088" s="257">
        <v>0</v>
      </c>
      <c r="F1088" s="34">
        <v>2</v>
      </c>
      <c r="G1088" s="40" t="s">
        <v>429</v>
      </c>
      <c r="H1088" s="29">
        <v>1</v>
      </c>
      <c r="I1088" s="9">
        <v>2</v>
      </c>
      <c r="J1088" s="9">
        <v>2</v>
      </c>
      <c r="K1088" s="9">
        <v>1</v>
      </c>
      <c r="L1088" s="9">
        <v>1</v>
      </c>
      <c r="M1088" s="9">
        <v>1</v>
      </c>
      <c r="N1088" s="185">
        <f t="shared" si="83"/>
        <v>0.16933510251023262</v>
      </c>
      <c r="O1088" s="159">
        <f t="shared" si="84"/>
        <v>0.19908580854301616</v>
      </c>
      <c r="P1088" s="63" t="s">
        <v>1961</v>
      </c>
    </row>
    <row r="1089" spans="1:16" s="808" customFormat="1" hidden="1">
      <c r="A1089" s="609" t="s">
        <v>507</v>
      </c>
      <c r="B1089" s="59" t="s">
        <v>251</v>
      </c>
      <c r="C1089" s="40" t="s">
        <v>139</v>
      </c>
      <c r="D1089" s="34" t="s">
        <v>99</v>
      </c>
      <c r="E1089" s="257">
        <v>0</v>
      </c>
      <c r="F1089" s="34">
        <v>2</v>
      </c>
      <c r="G1089" s="40" t="s">
        <v>429</v>
      </c>
      <c r="H1089" s="29">
        <v>1</v>
      </c>
      <c r="I1089" s="9">
        <v>2</v>
      </c>
      <c r="J1089" s="9">
        <v>2</v>
      </c>
      <c r="K1089" s="9">
        <v>1</v>
      </c>
      <c r="L1089" s="9">
        <v>1</v>
      </c>
      <c r="M1089" s="9">
        <v>1</v>
      </c>
      <c r="N1089" s="185">
        <f t="shared" si="83"/>
        <v>0.16933510251023262</v>
      </c>
      <c r="O1089" s="159">
        <f t="shared" si="84"/>
        <v>0.19908580854301616</v>
      </c>
      <c r="P1089" s="63" t="s">
        <v>1961</v>
      </c>
    </row>
    <row r="1090" spans="1:16" s="808" customFormat="1" hidden="1">
      <c r="A1090" s="609" t="s">
        <v>507</v>
      </c>
      <c r="B1090" s="59" t="s">
        <v>258</v>
      </c>
      <c r="C1090" s="40" t="s">
        <v>139</v>
      </c>
      <c r="D1090" s="34" t="s">
        <v>99</v>
      </c>
      <c r="E1090" s="257">
        <v>0</v>
      </c>
      <c r="F1090" s="34">
        <v>2</v>
      </c>
      <c r="G1090" s="40" t="s">
        <v>429</v>
      </c>
      <c r="H1090" s="29">
        <v>1</v>
      </c>
      <c r="I1090" s="9">
        <v>2</v>
      </c>
      <c r="J1090" s="9">
        <v>2</v>
      </c>
      <c r="K1090" s="9">
        <v>1</v>
      </c>
      <c r="L1090" s="9">
        <v>1</v>
      </c>
      <c r="M1090" s="9">
        <v>1</v>
      </c>
      <c r="N1090" s="185">
        <f t="shared" si="83"/>
        <v>0.16933510251023262</v>
      </c>
      <c r="O1090" s="159">
        <f t="shared" si="84"/>
        <v>0.19908580854301616</v>
      </c>
      <c r="P1090" s="63" t="s">
        <v>1961</v>
      </c>
    </row>
    <row r="1091" spans="1:16" s="808" customFormat="1" hidden="1">
      <c r="A1091" s="609" t="s">
        <v>507</v>
      </c>
      <c r="B1091" s="59" t="s">
        <v>333</v>
      </c>
      <c r="C1091" s="40" t="s">
        <v>139</v>
      </c>
      <c r="D1091" s="34" t="s">
        <v>99</v>
      </c>
      <c r="E1091" s="257" t="s">
        <v>150</v>
      </c>
      <c r="F1091" s="34">
        <v>1</v>
      </c>
      <c r="G1091" s="40" t="s">
        <v>429</v>
      </c>
      <c r="H1091" s="29"/>
      <c r="I1091" s="9"/>
      <c r="J1091" s="9"/>
      <c r="K1091" s="9"/>
      <c r="L1091" s="9"/>
      <c r="M1091" s="9"/>
      <c r="N1091" s="185" t="str">
        <f t="shared" si="83"/>
        <v/>
      </c>
      <c r="O1091" s="159" t="str">
        <f t="shared" si="84"/>
        <v/>
      </c>
      <c r="P1091" s="63"/>
    </row>
    <row r="1092" spans="1:16" s="808" customFormat="1" hidden="1">
      <c r="A1092" s="609" t="s">
        <v>505</v>
      </c>
      <c r="B1092" s="59" t="s">
        <v>228</v>
      </c>
      <c r="C1092" s="40" t="s">
        <v>139</v>
      </c>
      <c r="D1092" s="34" t="s">
        <v>99</v>
      </c>
      <c r="E1092" s="257">
        <v>0</v>
      </c>
      <c r="F1092" s="34">
        <v>2</v>
      </c>
      <c r="G1092" s="40" t="s">
        <v>429</v>
      </c>
      <c r="H1092" s="29">
        <v>1</v>
      </c>
      <c r="I1092" s="9">
        <v>2</v>
      </c>
      <c r="J1092" s="9">
        <v>2</v>
      </c>
      <c r="K1092" s="9">
        <v>1</v>
      </c>
      <c r="L1092" s="9">
        <v>1</v>
      </c>
      <c r="M1092" s="9">
        <v>1</v>
      </c>
      <c r="N1092" s="185">
        <f t="shared" si="83"/>
        <v>0.16933510251023262</v>
      </c>
      <c r="O1092" s="159">
        <f t="shared" si="84"/>
        <v>0.19908580854301616</v>
      </c>
      <c r="P1092" s="63" t="s">
        <v>854</v>
      </c>
    </row>
    <row r="1093" spans="1:16" s="808" customFormat="1" hidden="1">
      <c r="A1093" s="609" t="s">
        <v>505</v>
      </c>
      <c r="B1093" s="59" t="s">
        <v>333</v>
      </c>
      <c r="C1093" s="40" t="s">
        <v>139</v>
      </c>
      <c r="D1093" s="34" t="s">
        <v>99</v>
      </c>
      <c r="E1093" s="257" t="s">
        <v>150</v>
      </c>
      <c r="F1093" s="34">
        <v>1</v>
      </c>
      <c r="G1093" s="40" t="s">
        <v>429</v>
      </c>
      <c r="H1093" s="29"/>
      <c r="I1093" s="9"/>
      <c r="J1093" s="9"/>
      <c r="K1093" s="9"/>
      <c r="L1093" s="9"/>
      <c r="M1093" s="9"/>
      <c r="N1093" s="185" t="str">
        <f t="shared" si="83"/>
        <v/>
      </c>
      <c r="O1093" s="159" t="str">
        <f t="shared" si="84"/>
        <v/>
      </c>
      <c r="P1093" s="63" t="s">
        <v>1953</v>
      </c>
    </row>
    <row r="1094" spans="1:16" s="808" customFormat="1" hidden="1">
      <c r="A1094" s="609" t="s">
        <v>439</v>
      </c>
      <c r="B1094" s="59" t="s">
        <v>511</v>
      </c>
      <c r="C1094" s="40" t="s">
        <v>139</v>
      </c>
      <c r="D1094" s="34" t="s">
        <v>99</v>
      </c>
      <c r="E1094" s="257">
        <v>0</v>
      </c>
      <c r="F1094" s="34">
        <v>2</v>
      </c>
      <c r="G1094" s="40" t="s">
        <v>429</v>
      </c>
      <c r="H1094" s="29">
        <v>1</v>
      </c>
      <c r="I1094" s="9">
        <v>2</v>
      </c>
      <c r="J1094" s="9">
        <v>2</v>
      </c>
      <c r="K1094" s="9">
        <v>1</v>
      </c>
      <c r="L1094" s="9">
        <v>1</v>
      </c>
      <c r="M1094" s="9">
        <v>1</v>
      </c>
      <c r="N1094" s="185">
        <f t="shared" si="83"/>
        <v>0.16933510251023262</v>
      </c>
      <c r="O1094" s="159">
        <f t="shared" si="84"/>
        <v>0.19908580854301616</v>
      </c>
      <c r="P1094" s="63" t="s">
        <v>873</v>
      </c>
    </row>
    <row r="1095" spans="1:16" s="808" customFormat="1" hidden="1">
      <c r="A1095" s="609" t="s">
        <v>439</v>
      </c>
      <c r="B1095" s="59" t="s">
        <v>512</v>
      </c>
      <c r="C1095" s="40" t="s">
        <v>139</v>
      </c>
      <c r="D1095" s="34" t="s">
        <v>99</v>
      </c>
      <c r="E1095" s="257">
        <v>0.85</v>
      </c>
      <c r="F1095" s="34">
        <v>2</v>
      </c>
      <c r="G1095" s="40" t="s">
        <v>429</v>
      </c>
      <c r="H1095" s="29">
        <v>1</v>
      </c>
      <c r="I1095" s="9">
        <v>2</v>
      </c>
      <c r="J1095" s="9">
        <v>2</v>
      </c>
      <c r="K1095" s="9">
        <v>1</v>
      </c>
      <c r="L1095" s="9">
        <v>1</v>
      </c>
      <c r="M1095" s="9">
        <v>1</v>
      </c>
      <c r="N1095" s="185">
        <f t="shared" si="83"/>
        <v>0.16933510251023262</v>
      </c>
      <c r="O1095" s="159">
        <f t="shared" si="84"/>
        <v>0.19908580854301616</v>
      </c>
      <c r="P1095" s="63" t="s">
        <v>874</v>
      </c>
    </row>
    <row r="1096" spans="1:16" s="808" customFormat="1" hidden="1">
      <c r="A1096" s="609" t="s">
        <v>439</v>
      </c>
      <c r="B1096" s="59" t="s">
        <v>223</v>
      </c>
      <c r="C1096" s="40" t="s">
        <v>139</v>
      </c>
      <c r="D1096" s="34" t="s">
        <v>99</v>
      </c>
      <c r="E1096" s="257">
        <v>0.15</v>
      </c>
      <c r="F1096" s="34">
        <v>1</v>
      </c>
      <c r="G1096" s="40" t="s">
        <v>429</v>
      </c>
      <c r="H1096" s="29">
        <v>1</v>
      </c>
      <c r="I1096" s="9">
        <v>2</v>
      </c>
      <c r="J1096" s="9">
        <v>2</v>
      </c>
      <c r="K1096" s="9">
        <v>1</v>
      </c>
      <c r="L1096" s="9">
        <v>1</v>
      </c>
      <c r="M1096" s="9">
        <v>1</v>
      </c>
      <c r="N1096" s="185">
        <f t="shared" si="83"/>
        <v>0.16933510251023262</v>
      </c>
      <c r="O1096" s="159">
        <f t="shared" si="84"/>
        <v>0.19908580854301616</v>
      </c>
      <c r="P1096" s="63" t="s">
        <v>868</v>
      </c>
    </row>
    <row r="1097" spans="1:16" s="808" customFormat="1" hidden="1">
      <c r="A1097" s="609" t="s">
        <v>511</v>
      </c>
      <c r="B1097" s="59" t="s">
        <v>513</v>
      </c>
      <c r="C1097" s="40" t="s">
        <v>139</v>
      </c>
      <c r="D1097" s="34" t="s">
        <v>99</v>
      </c>
      <c r="E1097" s="257">
        <v>0.03</v>
      </c>
      <c r="F1097" s="34">
        <v>2</v>
      </c>
      <c r="G1097" s="40" t="s">
        <v>429</v>
      </c>
      <c r="H1097" s="29">
        <v>1</v>
      </c>
      <c r="I1097" s="9">
        <v>2</v>
      </c>
      <c r="J1097" s="9">
        <v>2</v>
      </c>
      <c r="K1097" s="9">
        <v>1</v>
      </c>
      <c r="L1097" s="9">
        <v>1</v>
      </c>
      <c r="M1097" s="9">
        <v>1</v>
      </c>
      <c r="N1097" s="185">
        <f t="shared" si="83"/>
        <v>0.16933510251023262</v>
      </c>
      <c r="O1097" s="159">
        <f t="shared" si="84"/>
        <v>0.19908580854301616</v>
      </c>
      <c r="P1097" s="63" t="s">
        <v>851</v>
      </c>
    </row>
    <row r="1098" spans="1:16" s="808" customFormat="1" hidden="1">
      <c r="A1098" s="609" t="s">
        <v>511</v>
      </c>
      <c r="B1098" s="59" t="s">
        <v>514</v>
      </c>
      <c r="C1098" s="40" t="s">
        <v>139</v>
      </c>
      <c r="D1098" s="34" t="s">
        <v>99</v>
      </c>
      <c r="E1098" s="257" t="s">
        <v>150</v>
      </c>
      <c r="F1098" s="34">
        <v>1</v>
      </c>
      <c r="G1098" s="40" t="s">
        <v>429</v>
      </c>
      <c r="H1098" s="29"/>
      <c r="I1098" s="9"/>
      <c r="J1098" s="9"/>
      <c r="K1098" s="9"/>
      <c r="L1098" s="9"/>
      <c r="M1098" s="9"/>
      <c r="N1098" s="185" t="str">
        <f t="shared" si="83"/>
        <v/>
      </c>
      <c r="O1098" s="159" t="str">
        <f t="shared" si="84"/>
        <v/>
      </c>
      <c r="P1098" s="63" t="s">
        <v>1946</v>
      </c>
    </row>
    <row r="1099" spans="1:16" s="808" customFormat="1" hidden="1">
      <c r="A1099" s="609" t="s">
        <v>513</v>
      </c>
      <c r="B1099" s="59" t="s">
        <v>231</v>
      </c>
      <c r="C1099" s="40" t="s">
        <v>139</v>
      </c>
      <c r="D1099" s="34" t="s">
        <v>99</v>
      </c>
      <c r="E1099" s="257">
        <v>0.05</v>
      </c>
      <c r="F1099" s="34">
        <v>2</v>
      </c>
      <c r="G1099" s="40" t="s">
        <v>157</v>
      </c>
      <c r="H1099" s="29">
        <v>1</v>
      </c>
      <c r="I1099" s="9">
        <v>2</v>
      </c>
      <c r="J1099" s="9">
        <v>2</v>
      </c>
      <c r="K1099" s="9">
        <v>1</v>
      </c>
      <c r="L1099" s="9">
        <v>3</v>
      </c>
      <c r="M1099" s="9">
        <v>3</v>
      </c>
      <c r="N1099" s="185">
        <f t="shared" si="83"/>
        <v>1.0725046436742278</v>
      </c>
      <c r="O1099" s="159">
        <f t="shared" si="84"/>
        <v>1.0776024280428556</v>
      </c>
      <c r="P1099" s="63" t="s">
        <v>1933</v>
      </c>
    </row>
    <row r="1100" spans="1:16" s="808" customFormat="1" hidden="1">
      <c r="A1100" s="609" t="s">
        <v>513</v>
      </c>
      <c r="B1100" s="59" t="s">
        <v>232</v>
      </c>
      <c r="C1100" s="40" t="s">
        <v>139</v>
      </c>
      <c r="D1100" s="34" t="s">
        <v>99</v>
      </c>
      <c r="E1100" s="257">
        <v>0.39400000000000002</v>
      </c>
      <c r="F1100" s="34">
        <v>2</v>
      </c>
      <c r="G1100" s="40" t="s">
        <v>429</v>
      </c>
      <c r="H1100" s="29">
        <v>1</v>
      </c>
      <c r="I1100" s="9">
        <v>2</v>
      </c>
      <c r="J1100" s="9">
        <v>2</v>
      </c>
      <c r="K1100" s="9">
        <v>1</v>
      </c>
      <c r="L1100" s="9">
        <v>1</v>
      </c>
      <c r="M1100" s="9">
        <v>1</v>
      </c>
      <c r="N1100" s="185">
        <f t="shared" si="83"/>
        <v>0.16933510251023262</v>
      </c>
      <c r="O1100" s="159">
        <f t="shared" si="84"/>
        <v>0.19908580854301616</v>
      </c>
      <c r="P1100" s="63" t="s">
        <v>1957</v>
      </c>
    </row>
    <row r="1101" spans="1:16" s="808" customFormat="1" hidden="1">
      <c r="A1101" s="609" t="s">
        <v>513</v>
      </c>
      <c r="B1101" s="59" t="s">
        <v>251</v>
      </c>
      <c r="C1101" s="40" t="s">
        <v>139</v>
      </c>
      <c r="D1101" s="34" t="s">
        <v>99</v>
      </c>
      <c r="E1101" s="257">
        <v>0.52200000000000002</v>
      </c>
      <c r="F1101" s="34">
        <v>1</v>
      </c>
      <c r="G1101" s="40" t="s">
        <v>429</v>
      </c>
      <c r="H1101" s="29">
        <v>1</v>
      </c>
      <c r="I1101" s="9">
        <v>2</v>
      </c>
      <c r="J1101" s="9">
        <v>2</v>
      </c>
      <c r="K1101" s="9">
        <v>1</v>
      </c>
      <c r="L1101" s="9">
        <v>1</v>
      </c>
      <c r="M1101" s="9">
        <v>1</v>
      </c>
      <c r="N1101" s="185">
        <f t="shared" si="83"/>
        <v>0.16933510251023262</v>
      </c>
      <c r="O1101" s="159">
        <f t="shared" si="84"/>
        <v>0.19908580854301616</v>
      </c>
      <c r="P1101" s="63" t="s">
        <v>1958</v>
      </c>
    </row>
    <row r="1102" spans="1:16" s="808" customFormat="1" hidden="1">
      <c r="A1102" s="609" t="s">
        <v>513</v>
      </c>
      <c r="B1102" s="59" t="s">
        <v>258</v>
      </c>
      <c r="C1102" s="40" t="s">
        <v>139</v>
      </c>
      <c r="D1102" s="34" t="s">
        <v>99</v>
      </c>
      <c r="E1102" s="257">
        <v>3.4000000000000002E-2</v>
      </c>
      <c r="F1102" s="34">
        <v>2</v>
      </c>
      <c r="G1102" s="40" t="s">
        <v>429</v>
      </c>
      <c r="H1102" s="29">
        <v>1</v>
      </c>
      <c r="I1102" s="9">
        <v>2</v>
      </c>
      <c r="J1102" s="9">
        <v>2</v>
      </c>
      <c r="K1102" s="9">
        <v>1</v>
      </c>
      <c r="L1102" s="9">
        <v>1</v>
      </c>
      <c r="M1102" s="9">
        <v>1</v>
      </c>
      <c r="N1102" s="185"/>
      <c r="O1102" s="159"/>
      <c r="P1102" s="63" t="s">
        <v>1959</v>
      </c>
    </row>
    <row r="1103" spans="1:16" s="808" customFormat="1" hidden="1">
      <c r="A1103" s="609" t="s">
        <v>512</v>
      </c>
      <c r="B1103" s="59" t="s">
        <v>515</v>
      </c>
      <c r="C1103" s="40" t="s">
        <v>139</v>
      </c>
      <c r="D1103" s="34" t="s">
        <v>99</v>
      </c>
      <c r="E1103" s="257">
        <f>0.1*E1097</f>
        <v>3.0000000000000001E-3</v>
      </c>
      <c r="F1103" s="34">
        <v>2</v>
      </c>
      <c r="G1103" s="40" t="s">
        <v>429</v>
      </c>
      <c r="H1103" s="29">
        <v>1</v>
      </c>
      <c r="I1103" s="9">
        <v>2</v>
      </c>
      <c r="J1103" s="9">
        <v>2</v>
      </c>
      <c r="K1103" s="9">
        <v>1</v>
      </c>
      <c r="L1103" s="9">
        <v>1</v>
      </c>
      <c r="M1103" s="9">
        <v>1</v>
      </c>
      <c r="N1103" s="185">
        <f t="shared" ref="N1103:N1120" si="85">IF( OR( ISBLANK(H1103),ISBLANK(J1103), ISBLANK(K1103), ISBLANK(L1103), ISBLANK(M1103) ), "", 1.5*SQRT(   EXP(2.21*(H1103-1)) + EXP(2.21*(J1103-1)) + EXP(2.21*(K1103-1)) + EXP(2.21*(L1103-1)) + EXP(2.21*M1103)   )/100*2.45 )</f>
        <v>0.16933510251023262</v>
      </c>
      <c r="O1103" s="159">
        <f t="shared" ref="O1103:O1120" si="86">IF( OR( ISBLANK(I1103),ISBLANK(J1103), ISBLANK(K1103), ISBLANK(L1103), ISBLANK(M1103) ), "", 1.5*SQRT( EXP(2.21*(I1103-1)) + EXP(2.21*(J1103-1)) + EXP(2.21*(K1103-1)) + EXP(2.21*(L1103-1)) + EXP(2.21*M1103)   )/100*2.45 )</f>
        <v>0.19908580854301616</v>
      </c>
      <c r="P1103" s="63" t="s">
        <v>852</v>
      </c>
    </row>
    <row r="1104" spans="1:16" s="808" customFormat="1" hidden="1">
      <c r="A1104" s="609" t="s">
        <v>512</v>
      </c>
      <c r="B1104" s="59" t="s">
        <v>516</v>
      </c>
      <c r="C1104" s="40" t="s">
        <v>139</v>
      </c>
      <c r="D1104" s="34" t="s">
        <v>99</v>
      </c>
      <c r="E1104" s="257" t="s">
        <v>150</v>
      </c>
      <c r="F1104" s="34">
        <v>1</v>
      </c>
      <c r="G1104" s="40" t="s">
        <v>429</v>
      </c>
      <c r="H1104" s="29"/>
      <c r="I1104" s="9"/>
      <c r="J1104" s="9"/>
      <c r="K1104" s="9"/>
      <c r="L1104" s="9"/>
      <c r="M1104" s="9"/>
      <c r="N1104" s="185" t="str">
        <f t="shared" si="85"/>
        <v/>
      </c>
      <c r="O1104" s="159" t="str">
        <f t="shared" si="86"/>
        <v/>
      </c>
      <c r="P1104" s="63" t="s">
        <v>1946</v>
      </c>
    </row>
    <row r="1105" spans="1:16" s="808" customFormat="1" hidden="1">
      <c r="A1105" s="609" t="s">
        <v>515</v>
      </c>
      <c r="B1105" s="59" t="s">
        <v>228</v>
      </c>
      <c r="C1105" s="40" t="s">
        <v>139</v>
      </c>
      <c r="D1105" s="34" t="s">
        <v>99</v>
      </c>
      <c r="E1105" s="257">
        <v>1</v>
      </c>
      <c r="F1105" s="34">
        <v>2</v>
      </c>
      <c r="G1105" s="40" t="s">
        <v>429</v>
      </c>
      <c r="H1105" s="29">
        <v>1</v>
      </c>
      <c r="I1105" s="9">
        <v>2</v>
      </c>
      <c r="J1105" s="9">
        <v>2</v>
      </c>
      <c r="K1105" s="9">
        <v>1</v>
      </c>
      <c r="L1105" s="9">
        <v>1</v>
      </c>
      <c r="M1105" s="9">
        <v>1</v>
      </c>
      <c r="N1105" s="185">
        <f t="shared" si="85"/>
        <v>0.16933510251023262</v>
      </c>
      <c r="O1105" s="159">
        <f t="shared" si="86"/>
        <v>0.19908580854301616</v>
      </c>
      <c r="P1105" s="63" t="s">
        <v>853</v>
      </c>
    </row>
    <row r="1106" spans="1:16" s="808" customFormat="1" hidden="1">
      <c r="A1106" s="609" t="s">
        <v>514</v>
      </c>
      <c r="B1106" s="59" t="s">
        <v>231</v>
      </c>
      <c r="C1106" s="40" t="s">
        <v>139</v>
      </c>
      <c r="D1106" s="34" t="s">
        <v>99</v>
      </c>
      <c r="E1106" s="257">
        <v>0</v>
      </c>
      <c r="F1106" s="34">
        <v>2</v>
      </c>
      <c r="G1106" s="40" t="s">
        <v>429</v>
      </c>
      <c r="H1106" s="29">
        <v>1</v>
      </c>
      <c r="I1106" s="9">
        <v>2</v>
      </c>
      <c r="J1106" s="9">
        <v>2</v>
      </c>
      <c r="K1106" s="9">
        <v>1</v>
      </c>
      <c r="L1106" s="9">
        <v>1</v>
      </c>
      <c r="M1106" s="9">
        <v>1</v>
      </c>
      <c r="N1106" s="185">
        <f t="shared" si="85"/>
        <v>0.16933510251023262</v>
      </c>
      <c r="O1106" s="159">
        <f t="shared" si="86"/>
        <v>0.19908580854301616</v>
      </c>
      <c r="P1106" s="63" t="s">
        <v>1960</v>
      </c>
    </row>
    <row r="1107" spans="1:16" s="808" customFormat="1" hidden="1">
      <c r="A1107" s="609" t="s">
        <v>514</v>
      </c>
      <c r="B1107" s="59" t="s">
        <v>232</v>
      </c>
      <c r="C1107" s="40" t="s">
        <v>139</v>
      </c>
      <c r="D1107" s="34" t="s">
        <v>99</v>
      </c>
      <c r="E1107" s="257">
        <v>0</v>
      </c>
      <c r="F1107" s="34">
        <v>2</v>
      </c>
      <c r="G1107" s="40" t="s">
        <v>429</v>
      </c>
      <c r="H1107" s="29">
        <v>1</v>
      </c>
      <c r="I1107" s="9">
        <v>2</v>
      </c>
      <c r="J1107" s="9">
        <v>2</v>
      </c>
      <c r="K1107" s="9">
        <v>1</v>
      </c>
      <c r="L1107" s="9">
        <v>1</v>
      </c>
      <c r="M1107" s="9">
        <v>1</v>
      </c>
      <c r="N1107" s="185">
        <f t="shared" si="85"/>
        <v>0.16933510251023262</v>
      </c>
      <c r="O1107" s="159">
        <f t="shared" si="86"/>
        <v>0.19908580854301616</v>
      </c>
      <c r="P1107" s="63" t="s">
        <v>1960</v>
      </c>
    </row>
    <row r="1108" spans="1:16" s="808" customFormat="1" hidden="1">
      <c r="A1108" s="609" t="s">
        <v>514</v>
      </c>
      <c r="B1108" s="59" t="s">
        <v>251</v>
      </c>
      <c r="C1108" s="40" t="s">
        <v>139</v>
      </c>
      <c r="D1108" s="34" t="s">
        <v>99</v>
      </c>
      <c r="E1108" s="257">
        <v>0</v>
      </c>
      <c r="F1108" s="34">
        <v>2</v>
      </c>
      <c r="G1108" s="40" t="s">
        <v>429</v>
      </c>
      <c r="H1108" s="29">
        <v>1</v>
      </c>
      <c r="I1108" s="9">
        <v>2</v>
      </c>
      <c r="J1108" s="9">
        <v>2</v>
      </c>
      <c r="K1108" s="9">
        <v>1</v>
      </c>
      <c r="L1108" s="9">
        <v>1</v>
      </c>
      <c r="M1108" s="9">
        <v>1</v>
      </c>
      <c r="N1108" s="185">
        <f t="shared" si="85"/>
        <v>0.16933510251023262</v>
      </c>
      <c r="O1108" s="159">
        <f t="shared" si="86"/>
        <v>0.19908580854301616</v>
      </c>
      <c r="P1108" s="63" t="s">
        <v>1960</v>
      </c>
    </row>
    <row r="1109" spans="1:16" s="808" customFormat="1" hidden="1">
      <c r="A1109" s="609" t="s">
        <v>514</v>
      </c>
      <c r="B1109" s="59" t="s">
        <v>258</v>
      </c>
      <c r="C1109" s="40" t="s">
        <v>139</v>
      </c>
      <c r="D1109" s="34" t="s">
        <v>99</v>
      </c>
      <c r="E1109" s="257">
        <v>0</v>
      </c>
      <c r="F1109" s="34">
        <v>2</v>
      </c>
      <c r="G1109" s="40" t="s">
        <v>429</v>
      </c>
      <c r="H1109" s="29">
        <v>1</v>
      </c>
      <c r="I1109" s="9">
        <v>2</v>
      </c>
      <c r="J1109" s="9">
        <v>2</v>
      </c>
      <c r="K1109" s="9">
        <v>1</v>
      </c>
      <c r="L1109" s="9">
        <v>1</v>
      </c>
      <c r="M1109" s="9">
        <v>1</v>
      </c>
      <c r="N1109" s="185">
        <f t="shared" si="85"/>
        <v>0.16933510251023262</v>
      </c>
      <c r="O1109" s="159">
        <f t="shared" si="86"/>
        <v>0.19908580854301616</v>
      </c>
      <c r="P1109" s="63" t="s">
        <v>1960</v>
      </c>
    </row>
    <row r="1110" spans="1:16" s="808" customFormat="1" hidden="1">
      <c r="A1110" s="609" t="s">
        <v>514</v>
      </c>
      <c r="B1110" s="59" t="s">
        <v>333</v>
      </c>
      <c r="C1110" s="40" t="s">
        <v>139</v>
      </c>
      <c r="D1110" s="34" t="s">
        <v>99</v>
      </c>
      <c r="E1110" s="257" t="s">
        <v>150</v>
      </c>
      <c r="F1110" s="34">
        <v>1</v>
      </c>
      <c r="G1110" s="40" t="s">
        <v>429</v>
      </c>
      <c r="H1110" s="29"/>
      <c r="I1110" s="9"/>
      <c r="J1110" s="9"/>
      <c r="K1110" s="9"/>
      <c r="L1110" s="9"/>
      <c r="M1110" s="9"/>
      <c r="N1110" s="185" t="str">
        <f t="shared" si="85"/>
        <v/>
      </c>
      <c r="O1110" s="159" t="str">
        <f t="shared" si="86"/>
        <v/>
      </c>
      <c r="P1110" s="63"/>
    </row>
    <row r="1111" spans="1:16" s="808" customFormat="1" hidden="1">
      <c r="A1111" s="609" t="s">
        <v>516</v>
      </c>
      <c r="B1111" s="59" t="s">
        <v>228</v>
      </c>
      <c r="C1111" s="40" t="s">
        <v>139</v>
      </c>
      <c r="D1111" s="34" t="s">
        <v>99</v>
      </c>
      <c r="E1111" s="257">
        <v>0</v>
      </c>
      <c r="F1111" s="34">
        <v>2</v>
      </c>
      <c r="G1111" s="40" t="s">
        <v>429</v>
      </c>
      <c r="H1111" s="29">
        <v>1</v>
      </c>
      <c r="I1111" s="9">
        <v>2</v>
      </c>
      <c r="J1111" s="9">
        <v>2</v>
      </c>
      <c r="K1111" s="9">
        <v>1</v>
      </c>
      <c r="L1111" s="9">
        <v>1</v>
      </c>
      <c r="M1111" s="9">
        <v>1</v>
      </c>
      <c r="N1111" s="185">
        <f t="shared" si="85"/>
        <v>0.16933510251023262</v>
      </c>
      <c r="O1111" s="159">
        <f t="shared" si="86"/>
        <v>0.19908580854301616</v>
      </c>
      <c r="P1111" s="63" t="s">
        <v>854</v>
      </c>
    </row>
    <row r="1112" spans="1:16" s="808" customFormat="1" hidden="1">
      <c r="A1112" s="609" t="s">
        <v>516</v>
      </c>
      <c r="B1112" s="59" t="s">
        <v>333</v>
      </c>
      <c r="C1112" s="40" t="s">
        <v>139</v>
      </c>
      <c r="D1112" s="34" t="s">
        <v>99</v>
      </c>
      <c r="E1112" s="257" t="s">
        <v>150</v>
      </c>
      <c r="F1112" s="34">
        <v>1</v>
      </c>
      <c r="G1112" s="40" t="s">
        <v>429</v>
      </c>
      <c r="H1112" s="29"/>
      <c r="I1112" s="9"/>
      <c r="J1112" s="9"/>
      <c r="K1112" s="9"/>
      <c r="L1112" s="9"/>
      <c r="M1112" s="9"/>
      <c r="N1112" s="185" t="str">
        <f t="shared" si="85"/>
        <v/>
      </c>
      <c r="O1112" s="159" t="str">
        <f t="shared" si="86"/>
        <v/>
      </c>
      <c r="P1112" s="63" t="s">
        <v>1954</v>
      </c>
    </row>
    <row r="1113" spans="1:16" s="808" customFormat="1" hidden="1">
      <c r="A1113" s="609" t="s">
        <v>440</v>
      </c>
      <c r="B1113" s="59" t="s">
        <v>517</v>
      </c>
      <c r="C1113" s="40" t="s">
        <v>139</v>
      </c>
      <c r="D1113" s="34" t="s">
        <v>99</v>
      </c>
      <c r="E1113" s="257">
        <v>0</v>
      </c>
      <c r="F1113" s="34">
        <v>2</v>
      </c>
      <c r="G1113" s="40" t="s">
        <v>429</v>
      </c>
      <c r="H1113" s="29">
        <v>1</v>
      </c>
      <c r="I1113" s="9">
        <v>2</v>
      </c>
      <c r="J1113" s="9">
        <v>2</v>
      </c>
      <c r="K1113" s="9">
        <v>1</v>
      </c>
      <c r="L1113" s="9">
        <v>1</v>
      </c>
      <c r="M1113" s="9">
        <v>1</v>
      </c>
      <c r="N1113" s="185">
        <f t="shared" si="85"/>
        <v>0.16933510251023262</v>
      </c>
      <c r="O1113" s="159">
        <f t="shared" si="86"/>
        <v>0.19908580854301616</v>
      </c>
      <c r="P1113" s="63" t="s">
        <v>873</v>
      </c>
    </row>
    <row r="1114" spans="1:16" s="808" customFormat="1" hidden="1">
      <c r="A1114" s="609" t="s">
        <v>440</v>
      </c>
      <c r="B1114" s="59" t="s">
        <v>518</v>
      </c>
      <c r="C1114" s="40" t="s">
        <v>139</v>
      </c>
      <c r="D1114" s="34" t="s">
        <v>99</v>
      </c>
      <c r="E1114" s="257">
        <v>0.85</v>
      </c>
      <c r="F1114" s="34">
        <v>2</v>
      </c>
      <c r="G1114" s="40" t="s">
        <v>429</v>
      </c>
      <c r="H1114" s="29">
        <v>1</v>
      </c>
      <c r="I1114" s="9">
        <v>2</v>
      </c>
      <c r="J1114" s="9">
        <v>2</v>
      </c>
      <c r="K1114" s="9">
        <v>1</v>
      </c>
      <c r="L1114" s="9">
        <v>1</v>
      </c>
      <c r="M1114" s="9">
        <v>1</v>
      </c>
      <c r="N1114" s="185">
        <f t="shared" si="85"/>
        <v>0.16933510251023262</v>
      </c>
      <c r="O1114" s="159">
        <f t="shared" si="86"/>
        <v>0.19908580854301616</v>
      </c>
      <c r="P1114" s="63" t="s">
        <v>874</v>
      </c>
    </row>
    <row r="1115" spans="1:16" s="808" customFormat="1" hidden="1">
      <c r="A1115" s="609" t="s">
        <v>440</v>
      </c>
      <c r="B1115" s="59" t="s">
        <v>223</v>
      </c>
      <c r="C1115" s="40" t="s">
        <v>139</v>
      </c>
      <c r="D1115" s="34" t="s">
        <v>99</v>
      </c>
      <c r="E1115" s="257">
        <v>0.15</v>
      </c>
      <c r="F1115" s="34">
        <v>1</v>
      </c>
      <c r="G1115" s="40" t="s">
        <v>429</v>
      </c>
      <c r="H1115" s="29">
        <v>1</v>
      </c>
      <c r="I1115" s="9">
        <v>2</v>
      </c>
      <c r="J1115" s="9">
        <v>2</v>
      </c>
      <c r="K1115" s="9">
        <v>1</v>
      </c>
      <c r="L1115" s="9">
        <v>1</v>
      </c>
      <c r="M1115" s="9">
        <v>1</v>
      </c>
      <c r="N1115" s="185">
        <f t="shared" si="85"/>
        <v>0.16933510251023262</v>
      </c>
      <c r="O1115" s="159">
        <f t="shared" si="86"/>
        <v>0.19908580854301616</v>
      </c>
      <c r="P1115" s="63" t="s">
        <v>868</v>
      </c>
    </row>
    <row r="1116" spans="1:16" s="808" customFormat="1" hidden="1">
      <c r="A1116" s="609" t="s">
        <v>517</v>
      </c>
      <c r="B1116" s="59" t="s">
        <v>519</v>
      </c>
      <c r="C1116" s="40" t="s">
        <v>139</v>
      </c>
      <c r="D1116" s="34" t="s">
        <v>99</v>
      </c>
      <c r="E1116" s="257">
        <v>0.03</v>
      </c>
      <c r="F1116" s="34">
        <v>2</v>
      </c>
      <c r="G1116" s="40" t="s">
        <v>429</v>
      </c>
      <c r="H1116" s="29">
        <v>1</v>
      </c>
      <c r="I1116" s="9">
        <v>2</v>
      </c>
      <c r="J1116" s="9">
        <v>2</v>
      </c>
      <c r="K1116" s="9">
        <v>1</v>
      </c>
      <c r="L1116" s="9">
        <v>1</v>
      </c>
      <c r="M1116" s="9">
        <v>1</v>
      </c>
      <c r="N1116" s="185">
        <f t="shared" si="85"/>
        <v>0.16933510251023262</v>
      </c>
      <c r="O1116" s="159">
        <f t="shared" si="86"/>
        <v>0.19908580854301616</v>
      </c>
      <c r="P1116" s="63" t="s">
        <v>851</v>
      </c>
    </row>
    <row r="1117" spans="1:16" s="808" customFormat="1" hidden="1">
      <c r="A1117" s="609" t="s">
        <v>517</v>
      </c>
      <c r="B1117" s="59" t="s">
        <v>468</v>
      </c>
      <c r="C1117" s="40" t="s">
        <v>139</v>
      </c>
      <c r="D1117" s="34" t="s">
        <v>99</v>
      </c>
      <c r="E1117" s="257" t="s">
        <v>150</v>
      </c>
      <c r="F1117" s="34">
        <v>1</v>
      </c>
      <c r="G1117" s="40" t="s">
        <v>429</v>
      </c>
      <c r="H1117" s="29"/>
      <c r="I1117" s="9"/>
      <c r="J1117" s="9"/>
      <c r="K1117" s="9"/>
      <c r="L1117" s="9"/>
      <c r="M1117" s="9"/>
      <c r="N1117" s="185" t="str">
        <f t="shared" si="85"/>
        <v/>
      </c>
      <c r="O1117" s="159" t="str">
        <f t="shared" si="86"/>
        <v/>
      </c>
      <c r="P1117" s="63" t="s">
        <v>1955</v>
      </c>
    </row>
    <row r="1118" spans="1:16" s="808" customFormat="1" hidden="1">
      <c r="A1118" s="609" t="s">
        <v>519</v>
      </c>
      <c r="B1118" s="59" t="s">
        <v>231</v>
      </c>
      <c r="C1118" s="40" t="s">
        <v>139</v>
      </c>
      <c r="D1118" s="34" t="s">
        <v>99</v>
      </c>
      <c r="E1118" s="257">
        <v>0.05</v>
      </c>
      <c r="F1118" s="34">
        <v>2</v>
      </c>
      <c r="G1118" s="40" t="s">
        <v>157</v>
      </c>
      <c r="H1118" s="29">
        <v>1</v>
      </c>
      <c r="I1118" s="9">
        <v>2</v>
      </c>
      <c r="J1118" s="9">
        <v>2</v>
      </c>
      <c r="K1118" s="9">
        <v>1</v>
      </c>
      <c r="L1118" s="9">
        <v>3</v>
      </c>
      <c r="M1118" s="9">
        <v>3</v>
      </c>
      <c r="N1118" s="185">
        <f t="shared" si="85"/>
        <v>1.0725046436742278</v>
      </c>
      <c r="O1118" s="159">
        <f t="shared" si="86"/>
        <v>1.0776024280428556</v>
      </c>
      <c r="P1118" s="63" t="s">
        <v>1933</v>
      </c>
    </row>
    <row r="1119" spans="1:16" s="808" customFormat="1" hidden="1">
      <c r="A1119" s="609" t="s">
        <v>519</v>
      </c>
      <c r="B1119" s="59" t="s">
        <v>232</v>
      </c>
      <c r="C1119" s="40" t="s">
        <v>139</v>
      </c>
      <c r="D1119" s="34" t="s">
        <v>99</v>
      </c>
      <c r="E1119" s="257">
        <v>0.39400000000000002</v>
      </c>
      <c r="F1119" s="34">
        <v>2</v>
      </c>
      <c r="G1119" s="40" t="s">
        <v>429</v>
      </c>
      <c r="H1119" s="29">
        <v>1</v>
      </c>
      <c r="I1119" s="9">
        <v>2</v>
      </c>
      <c r="J1119" s="9">
        <v>2</v>
      </c>
      <c r="K1119" s="9">
        <v>1</v>
      </c>
      <c r="L1119" s="9">
        <v>1</v>
      </c>
      <c r="M1119" s="9">
        <v>1</v>
      </c>
      <c r="N1119" s="185">
        <f t="shared" si="85"/>
        <v>0.16933510251023262</v>
      </c>
      <c r="O1119" s="159">
        <f t="shared" si="86"/>
        <v>0.19908580854301616</v>
      </c>
      <c r="P1119" s="63" t="s">
        <v>1957</v>
      </c>
    </row>
    <row r="1120" spans="1:16" s="808" customFormat="1" hidden="1">
      <c r="A1120" s="609" t="s">
        <v>519</v>
      </c>
      <c r="B1120" s="59" t="s">
        <v>251</v>
      </c>
      <c r="C1120" s="40" t="s">
        <v>139</v>
      </c>
      <c r="D1120" s="34" t="s">
        <v>99</v>
      </c>
      <c r="E1120" s="257">
        <v>0.52200000000000002</v>
      </c>
      <c r="F1120" s="34">
        <v>1</v>
      </c>
      <c r="G1120" s="40" t="s">
        <v>429</v>
      </c>
      <c r="H1120" s="29">
        <v>1</v>
      </c>
      <c r="I1120" s="9">
        <v>2</v>
      </c>
      <c r="J1120" s="9">
        <v>2</v>
      </c>
      <c r="K1120" s="9">
        <v>1</v>
      </c>
      <c r="L1120" s="9">
        <v>1</v>
      </c>
      <c r="M1120" s="9">
        <v>1</v>
      </c>
      <c r="N1120" s="185">
        <f t="shared" si="85"/>
        <v>0.16933510251023262</v>
      </c>
      <c r="O1120" s="159">
        <f t="shared" si="86"/>
        <v>0.19908580854301616</v>
      </c>
      <c r="P1120" s="63" t="s">
        <v>1958</v>
      </c>
    </row>
    <row r="1121" spans="1:16" s="808" customFormat="1" hidden="1">
      <c r="A1121" s="609" t="s">
        <v>519</v>
      </c>
      <c r="B1121" s="59" t="s">
        <v>258</v>
      </c>
      <c r="C1121" s="40" t="s">
        <v>139</v>
      </c>
      <c r="D1121" s="34" t="s">
        <v>99</v>
      </c>
      <c r="E1121" s="257">
        <v>3.4000000000000002E-2</v>
      </c>
      <c r="F1121" s="34">
        <v>2</v>
      </c>
      <c r="G1121" s="40" t="s">
        <v>429</v>
      </c>
      <c r="H1121" s="29">
        <v>1</v>
      </c>
      <c r="I1121" s="9">
        <v>2</v>
      </c>
      <c r="J1121" s="9">
        <v>2</v>
      </c>
      <c r="K1121" s="9">
        <v>1</v>
      </c>
      <c r="L1121" s="9">
        <v>1</v>
      </c>
      <c r="M1121" s="9">
        <v>1</v>
      </c>
      <c r="N1121" s="185"/>
      <c r="O1121" s="159"/>
      <c r="P1121" s="63" t="s">
        <v>1959</v>
      </c>
    </row>
    <row r="1122" spans="1:16" s="808" customFormat="1" hidden="1">
      <c r="A1122" s="609" t="s">
        <v>518</v>
      </c>
      <c r="B1122" s="59" t="s">
        <v>520</v>
      </c>
      <c r="C1122" s="40" t="s">
        <v>139</v>
      </c>
      <c r="D1122" s="34" t="s">
        <v>99</v>
      </c>
      <c r="E1122" s="257">
        <f>0.1*E1116</f>
        <v>3.0000000000000001E-3</v>
      </c>
      <c r="F1122" s="34">
        <v>2</v>
      </c>
      <c r="G1122" s="40" t="s">
        <v>429</v>
      </c>
      <c r="H1122" s="29">
        <v>1</v>
      </c>
      <c r="I1122" s="9">
        <v>2</v>
      </c>
      <c r="J1122" s="9">
        <v>2</v>
      </c>
      <c r="K1122" s="9">
        <v>1</v>
      </c>
      <c r="L1122" s="9">
        <v>1</v>
      </c>
      <c r="M1122" s="9">
        <v>1</v>
      </c>
      <c r="N1122" s="185">
        <f t="shared" ref="N1122:N1131" si="87">IF( OR( ISBLANK(H1122),ISBLANK(J1122), ISBLANK(K1122), ISBLANK(L1122), ISBLANK(M1122) ), "", 1.5*SQRT(   EXP(2.21*(H1122-1)) + EXP(2.21*(J1122-1)) + EXP(2.21*(K1122-1)) + EXP(2.21*(L1122-1)) + EXP(2.21*M1122)   )/100*2.45 )</f>
        <v>0.16933510251023262</v>
      </c>
      <c r="O1122" s="159">
        <f t="shared" ref="O1122:O1131" si="88">IF( OR( ISBLANK(I1122),ISBLANK(J1122), ISBLANK(K1122), ISBLANK(L1122), ISBLANK(M1122) ), "", 1.5*SQRT( EXP(2.21*(I1122-1)) + EXP(2.21*(J1122-1)) + EXP(2.21*(K1122-1)) + EXP(2.21*(L1122-1)) + EXP(2.21*M1122)   )/100*2.45 )</f>
        <v>0.19908580854301616</v>
      </c>
      <c r="P1122" s="63" t="s">
        <v>852</v>
      </c>
    </row>
    <row r="1123" spans="1:16" s="808" customFormat="1" hidden="1">
      <c r="A1123" s="609" t="s">
        <v>518</v>
      </c>
      <c r="B1123" s="59" t="s">
        <v>461</v>
      </c>
      <c r="C1123" s="40" t="s">
        <v>139</v>
      </c>
      <c r="D1123" s="34" t="s">
        <v>99</v>
      </c>
      <c r="E1123" s="257" t="s">
        <v>150</v>
      </c>
      <c r="F1123" s="34">
        <v>1</v>
      </c>
      <c r="G1123" s="40" t="s">
        <v>429</v>
      </c>
      <c r="H1123" s="29"/>
      <c r="I1123" s="9"/>
      <c r="J1123" s="9"/>
      <c r="K1123" s="9"/>
      <c r="L1123" s="9"/>
      <c r="M1123" s="9"/>
      <c r="N1123" s="185" t="str">
        <f t="shared" si="87"/>
        <v/>
      </c>
      <c r="O1123" s="159" t="str">
        <f t="shared" si="88"/>
        <v/>
      </c>
      <c r="P1123" s="63" t="s">
        <v>1955</v>
      </c>
    </row>
    <row r="1124" spans="1:16" s="808" customFormat="1" hidden="1">
      <c r="A1124" s="609" t="s">
        <v>520</v>
      </c>
      <c r="B1124" s="59" t="s">
        <v>228</v>
      </c>
      <c r="C1124" s="40" t="s">
        <v>139</v>
      </c>
      <c r="D1124" s="34" t="s">
        <v>99</v>
      </c>
      <c r="E1124" s="257">
        <v>1</v>
      </c>
      <c r="F1124" s="34">
        <v>2</v>
      </c>
      <c r="G1124" s="40" t="s">
        <v>429</v>
      </c>
      <c r="H1124" s="29">
        <v>1</v>
      </c>
      <c r="I1124" s="9">
        <v>2</v>
      </c>
      <c r="J1124" s="9">
        <v>2</v>
      </c>
      <c r="K1124" s="9">
        <v>1</v>
      </c>
      <c r="L1124" s="9">
        <v>1</v>
      </c>
      <c r="M1124" s="9">
        <v>1</v>
      </c>
      <c r="N1124" s="185">
        <f t="shared" si="87"/>
        <v>0.16933510251023262</v>
      </c>
      <c r="O1124" s="159">
        <f t="shared" si="88"/>
        <v>0.19908580854301616</v>
      </c>
      <c r="P1124" s="63" t="s">
        <v>853</v>
      </c>
    </row>
    <row r="1125" spans="1:16" s="808" customFormat="1" hidden="1">
      <c r="A1125" s="609" t="s">
        <v>468</v>
      </c>
      <c r="B1125" s="59" t="s">
        <v>231</v>
      </c>
      <c r="C1125" s="40" t="s">
        <v>139</v>
      </c>
      <c r="D1125" s="34" t="s">
        <v>99</v>
      </c>
      <c r="E1125" s="257">
        <v>3.2000000000000002E-3</v>
      </c>
      <c r="F1125" s="34">
        <v>2</v>
      </c>
      <c r="G1125" s="40" t="s">
        <v>1993</v>
      </c>
      <c r="H1125" s="29">
        <v>1</v>
      </c>
      <c r="I1125" s="9">
        <v>2</v>
      </c>
      <c r="J1125" s="9">
        <v>2</v>
      </c>
      <c r="K1125" s="9">
        <v>1</v>
      </c>
      <c r="L1125" s="9">
        <v>3</v>
      </c>
      <c r="M1125" s="9">
        <v>3</v>
      </c>
      <c r="N1125" s="185">
        <f t="shared" si="87"/>
        <v>1.0725046436742278</v>
      </c>
      <c r="O1125" s="159">
        <f t="shared" si="88"/>
        <v>1.0776024280428556</v>
      </c>
      <c r="P1125" s="63" t="s">
        <v>1985</v>
      </c>
    </row>
    <row r="1126" spans="1:16" s="808" customFormat="1" hidden="1">
      <c r="A1126" s="609" t="s">
        <v>468</v>
      </c>
      <c r="B1126" s="59" t="s">
        <v>232</v>
      </c>
      <c r="C1126" s="40" t="s">
        <v>139</v>
      </c>
      <c r="D1126" s="34" t="s">
        <v>99</v>
      </c>
      <c r="E1126" s="257">
        <v>2.5215999999999999E-2</v>
      </c>
      <c r="F1126" s="34">
        <v>2</v>
      </c>
      <c r="G1126" s="40" t="s">
        <v>429</v>
      </c>
      <c r="H1126" s="29">
        <v>1</v>
      </c>
      <c r="I1126" s="9">
        <v>2</v>
      </c>
      <c r="J1126" s="9">
        <v>2</v>
      </c>
      <c r="K1126" s="9">
        <v>1</v>
      </c>
      <c r="L1126" s="9">
        <v>1</v>
      </c>
      <c r="M1126" s="9">
        <v>1</v>
      </c>
      <c r="N1126" s="185">
        <f t="shared" si="87"/>
        <v>0.16933510251023262</v>
      </c>
      <c r="O1126" s="159">
        <f t="shared" si="88"/>
        <v>0.19908580854301616</v>
      </c>
      <c r="P1126" s="63" t="s">
        <v>1986</v>
      </c>
    </row>
    <row r="1127" spans="1:16" s="808" customFormat="1" hidden="1">
      <c r="A1127" s="609" t="s">
        <v>468</v>
      </c>
      <c r="B1127" s="59" t="s">
        <v>251</v>
      </c>
      <c r="C1127" s="40" t="s">
        <v>139</v>
      </c>
      <c r="D1127" s="34" t="s">
        <v>99</v>
      </c>
      <c r="E1127" s="257">
        <v>3.3408E-2</v>
      </c>
      <c r="F1127" s="34">
        <v>2</v>
      </c>
      <c r="G1127" s="40" t="s">
        <v>429</v>
      </c>
      <c r="H1127" s="29">
        <v>1</v>
      </c>
      <c r="I1127" s="9">
        <v>2</v>
      </c>
      <c r="J1127" s="9">
        <v>2</v>
      </c>
      <c r="K1127" s="9">
        <v>1</v>
      </c>
      <c r="L1127" s="9">
        <v>1</v>
      </c>
      <c r="M1127" s="9">
        <v>1</v>
      </c>
      <c r="N1127" s="185">
        <f t="shared" si="87"/>
        <v>0.16933510251023262</v>
      </c>
      <c r="O1127" s="159">
        <f t="shared" si="88"/>
        <v>0.19908580854301616</v>
      </c>
      <c r="P1127" s="63" t="s">
        <v>1987</v>
      </c>
    </row>
    <row r="1128" spans="1:16" s="808" customFormat="1" hidden="1">
      <c r="A1128" s="609" t="s">
        <v>468</v>
      </c>
      <c r="B1128" s="59" t="s">
        <v>258</v>
      </c>
      <c r="C1128" s="40" t="s">
        <v>139</v>
      </c>
      <c r="D1128" s="34" t="s">
        <v>99</v>
      </c>
      <c r="E1128" s="257">
        <v>2.176E-3</v>
      </c>
      <c r="F1128" s="34">
        <v>2</v>
      </c>
      <c r="G1128" s="40" t="s">
        <v>429</v>
      </c>
      <c r="H1128" s="29">
        <v>1</v>
      </c>
      <c r="I1128" s="9">
        <v>2</v>
      </c>
      <c r="J1128" s="9">
        <v>2</v>
      </c>
      <c r="K1128" s="9">
        <v>1</v>
      </c>
      <c r="L1128" s="9">
        <v>1</v>
      </c>
      <c r="M1128" s="9">
        <v>1</v>
      </c>
      <c r="N1128" s="185">
        <f t="shared" si="87"/>
        <v>0.16933510251023262</v>
      </c>
      <c r="O1128" s="159">
        <f t="shared" si="88"/>
        <v>0.19908580854301616</v>
      </c>
      <c r="P1128" s="63" t="s">
        <v>1988</v>
      </c>
    </row>
    <row r="1129" spans="1:16" s="808" customFormat="1" hidden="1">
      <c r="A1129" s="609" t="s">
        <v>468</v>
      </c>
      <c r="B1129" s="59" t="s">
        <v>333</v>
      </c>
      <c r="C1129" s="40" t="s">
        <v>139</v>
      </c>
      <c r="D1129" s="34" t="s">
        <v>99</v>
      </c>
      <c r="E1129" s="257" t="s">
        <v>150</v>
      </c>
      <c r="F1129" s="34">
        <v>1</v>
      </c>
      <c r="G1129" s="40" t="s">
        <v>429</v>
      </c>
      <c r="H1129" s="29"/>
      <c r="I1129" s="9"/>
      <c r="J1129" s="9"/>
      <c r="K1129" s="9"/>
      <c r="L1129" s="9"/>
      <c r="M1129" s="9"/>
      <c r="N1129" s="185" t="str">
        <f t="shared" si="87"/>
        <v/>
      </c>
      <c r="O1129" s="159" t="str">
        <f t="shared" si="88"/>
        <v/>
      </c>
      <c r="P1129" s="63"/>
    </row>
    <row r="1130" spans="1:16" s="808" customFormat="1" hidden="1">
      <c r="A1130" s="609" t="s">
        <v>461</v>
      </c>
      <c r="B1130" s="59" t="s">
        <v>228</v>
      </c>
      <c r="C1130" s="40" t="s">
        <v>139</v>
      </c>
      <c r="D1130" s="34" t="s">
        <v>99</v>
      </c>
      <c r="E1130" s="257">
        <v>6.4000000000000001E-2</v>
      </c>
      <c r="F1130" s="34">
        <v>2</v>
      </c>
      <c r="G1130" s="40" t="s">
        <v>429</v>
      </c>
      <c r="H1130" s="29">
        <v>1</v>
      </c>
      <c r="I1130" s="9">
        <v>2</v>
      </c>
      <c r="J1130" s="9">
        <v>2</v>
      </c>
      <c r="K1130" s="9">
        <v>1</v>
      </c>
      <c r="L1130" s="9">
        <v>1</v>
      </c>
      <c r="M1130" s="9">
        <v>1</v>
      </c>
      <c r="N1130" s="185">
        <f t="shared" si="87"/>
        <v>0.16933510251023262</v>
      </c>
      <c r="O1130" s="159">
        <f t="shared" si="88"/>
        <v>0.19908580854301616</v>
      </c>
      <c r="P1130" s="63" t="s">
        <v>869</v>
      </c>
    </row>
    <row r="1131" spans="1:16" s="808" customFormat="1" ht="15" hidden="1" thickBot="1">
      <c r="A1131" s="807" t="s">
        <v>461</v>
      </c>
      <c r="B1131" s="860" t="s">
        <v>333</v>
      </c>
      <c r="C1131" s="153" t="s">
        <v>139</v>
      </c>
      <c r="D1131" s="149" t="s">
        <v>99</v>
      </c>
      <c r="E1131" s="259" t="s">
        <v>150</v>
      </c>
      <c r="F1131" s="149">
        <v>1</v>
      </c>
      <c r="G1131" s="153" t="s">
        <v>429</v>
      </c>
      <c r="H1131" s="154"/>
      <c r="I1131" s="119"/>
      <c r="J1131" s="119"/>
      <c r="K1131" s="119"/>
      <c r="L1131" s="119"/>
      <c r="M1131" s="119"/>
      <c r="N1131" s="894" t="str">
        <f t="shared" si="87"/>
        <v/>
      </c>
      <c r="O1131" s="813" t="str">
        <f t="shared" si="88"/>
        <v/>
      </c>
      <c r="P1131" s="505" t="s">
        <v>1956</v>
      </c>
    </row>
    <row r="1132" spans="1:16" hidden="1">
      <c r="A1132" s="151" t="s">
        <v>286</v>
      </c>
      <c r="B1132" s="151" t="s">
        <v>179</v>
      </c>
      <c r="C1132" s="9" t="s">
        <v>182</v>
      </c>
      <c r="D1132" s="9" t="s">
        <v>139</v>
      </c>
      <c r="E1132" s="769">
        <v>0.41880824100000003</v>
      </c>
      <c r="F1132" s="9">
        <v>2</v>
      </c>
      <c r="G1132" s="9" t="s">
        <v>2011</v>
      </c>
      <c r="H1132" s="9"/>
      <c r="I1132" s="9">
        <v>1</v>
      </c>
      <c r="J1132" s="9">
        <v>1</v>
      </c>
      <c r="K1132" s="9">
        <v>3</v>
      </c>
      <c r="L1132" s="9">
        <v>1</v>
      </c>
      <c r="M1132" s="9">
        <v>2</v>
      </c>
      <c r="N1132" s="185" t="str">
        <f t="shared" ref="N1132:N1194" si="89">IF( OR( ISBLANK(H1132),ISBLANK(J1132), ISBLANK(K1132), ISBLANK(L1132), ISBLANK(M1132) ), "", 1.5*SQRT(   EXP(2.21*(H1132-1)) + EXP(2.21*(J1132-1)) + EXP(2.21*(K1132-1)) + EXP(2.21*(L1132-1)) + EXP(2.21*M1132)   )/100*2.45 )</f>
        <v/>
      </c>
      <c r="O1132" s="159">
        <f t="shared" ref="O1132:O1194" si="90">IF( OR( ISBLANK(I1132),ISBLANK(J1132), ISBLANK(K1132), ISBLANK(L1132), ISBLANK(M1132) ), "", 1.5*SQRT( EXP(2.21*(I1132-1)) + EXP(2.21*(J1132-1)) + EXP(2.21*(K1132-1)) + EXP(2.21*(L1132-1)) + EXP(2.21*M1132)   )/100*2.45 )</f>
        <v>0.47802211380704585</v>
      </c>
      <c r="P1132" s="639"/>
    </row>
    <row r="1133" spans="1:16" hidden="1">
      <c r="A1133" s="151" t="s">
        <v>286</v>
      </c>
      <c r="B1133" s="151" t="s">
        <v>155</v>
      </c>
      <c r="C1133" s="9" t="s">
        <v>182</v>
      </c>
      <c r="D1133" s="9" t="s">
        <v>139</v>
      </c>
      <c r="E1133" s="769">
        <v>0.26110973500000001</v>
      </c>
      <c r="F1133" s="9">
        <v>2</v>
      </c>
      <c r="G1133" s="9" t="s">
        <v>2011</v>
      </c>
      <c r="H1133" s="9"/>
      <c r="I1133" s="9">
        <v>1</v>
      </c>
      <c r="J1133" s="9">
        <v>1</v>
      </c>
      <c r="K1133" s="9">
        <v>3</v>
      </c>
      <c r="L1133" s="9">
        <v>1</v>
      </c>
      <c r="M1133" s="9">
        <v>2</v>
      </c>
      <c r="N1133" s="185" t="str">
        <f t="shared" si="89"/>
        <v/>
      </c>
      <c r="O1133" s="159">
        <f t="shared" si="90"/>
        <v>0.47802211380704585</v>
      </c>
      <c r="P1133" s="639"/>
    </row>
    <row r="1134" spans="1:16" hidden="1">
      <c r="A1134" s="151" t="s">
        <v>286</v>
      </c>
      <c r="B1134" s="151" t="s">
        <v>154</v>
      </c>
      <c r="C1134" s="9" t="s">
        <v>182</v>
      </c>
      <c r="D1134" s="9" t="s">
        <v>139</v>
      </c>
      <c r="E1134" s="769">
        <v>0.16236634799999999</v>
      </c>
      <c r="F1134" s="9">
        <v>2</v>
      </c>
      <c r="G1134" s="9" t="s">
        <v>2011</v>
      </c>
      <c r="H1134" s="9"/>
      <c r="I1134" s="9">
        <v>1</v>
      </c>
      <c r="J1134" s="9">
        <v>1</v>
      </c>
      <c r="K1134" s="9">
        <v>3</v>
      </c>
      <c r="L1134" s="9">
        <v>1</v>
      </c>
      <c r="M1134" s="9">
        <v>2</v>
      </c>
      <c r="N1134" s="185" t="str">
        <f t="shared" si="89"/>
        <v/>
      </c>
      <c r="O1134" s="159">
        <f t="shared" si="90"/>
        <v>0.47802211380704585</v>
      </c>
      <c r="P1134" s="639"/>
    </row>
    <row r="1135" spans="1:16" hidden="1">
      <c r="A1135" s="151" t="s">
        <v>286</v>
      </c>
      <c r="B1135" s="151" t="s">
        <v>184</v>
      </c>
      <c r="C1135" s="9" t="s">
        <v>182</v>
      </c>
      <c r="D1135" s="9" t="s">
        <v>139</v>
      </c>
      <c r="E1135" s="769">
        <v>5.6761449999999998E-2</v>
      </c>
      <c r="F1135" s="9">
        <v>2</v>
      </c>
      <c r="G1135" s="9" t="s">
        <v>2011</v>
      </c>
      <c r="H1135" s="9"/>
      <c r="I1135" s="9">
        <v>1</v>
      </c>
      <c r="J1135" s="9">
        <v>1</v>
      </c>
      <c r="K1135" s="9">
        <v>3</v>
      </c>
      <c r="L1135" s="9">
        <v>1</v>
      </c>
      <c r="M1135" s="9">
        <v>2</v>
      </c>
      <c r="N1135" s="185" t="str">
        <f t="shared" si="89"/>
        <v/>
      </c>
      <c r="O1135" s="159">
        <f t="shared" si="90"/>
        <v>0.47802211380704585</v>
      </c>
      <c r="P1135" s="639"/>
    </row>
    <row r="1136" spans="1:16" hidden="1">
      <c r="A1136" s="151" t="s">
        <v>286</v>
      </c>
      <c r="B1136" s="151" t="s">
        <v>248</v>
      </c>
      <c r="C1136" s="9" t="s">
        <v>182</v>
      </c>
      <c r="D1136" s="9" t="s">
        <v>139</v>
      </c>
      <c r="E1136" s="769">
        <v>0.122732613</v>
      </c>
      <c r="F1136" s="9">
        <v>2</v>
      </c>
      <c r="G1136" s="9" t="s">
        <v>2011</v>
      </c>
      <c r="H1136" s="9"/>
      <c r="I1136" s="9">
        <v>1</v>
      </c>
      <c r="J1136" s="9">
        <v>1</v>
      </c>
      <c r="K1136" s="9">
        <v>3</v>
      </c>
      <c r="L1136" s="9">
        <v>1</v>
      </c>
      <c r="M1136" s="9">
        <v>2</v>
      </c>
      <c r="N1136" s="185" t="str">
        <f t="shared" si="89"/>
        <v/>
      </c>
      <c r="O1136" s="159">
        <f t="shared" si="90"/>
        <v>0.47802211380704585</v>
      </c>
      <c r="P1136" s="639" t="s">
        <v>2012</v>
      </c>
    </row>
    <row r="1137" spans="1:16" hidden="1">
      <c r="A1137" s="151" t="s">
        <v>284</v>
      </c>
      <c r="B1137" s="151" t="s">
        <v>179</v>
      </c>
      <c r="C1137" s="9" t="s">
        <v>182</v>
      </c>
      <c r="D1137" s="9" t="s">
        <v>139</v>
      </c>
      <c r="E1137" s="769">
        <v>0.41880824100000003</v>
      </c>
      <c r="F1137" s="9">
        <v>2</v>
      </c>
      <c r="G1137" s="9" t="s">
        <v>2011</v>
      </c>
      <c r="H1137" s="9"/>
      <c r="I1137" s="9">
        <v>1</v>
      </c>
      <c r="J1137" s="9">
        <v>1</v>
      </c>
      <c r="K1137" s="9">
        <v>3</v>
      </c>
      <c r="L1137" s="9">
        <v>1</v>
      </c>
      <c r="M1137" s="9">
        <v>2</v>
      </c>
      <c r="N1137" s="185" t="str">
        <f t="shared" si="89"/>
        <v/>
      </c>
      <c r="O1137" s="159">
        <f t="shared" si="90"/>
        <v>0.47802211380704585</v>
      </c>
      <c r="P1137" s="639"/>
    </row>
    <row r="1138" spans="1:16" hidden="1">
      <c r="A1138" s="151" t="s">
        <v>284</v>
      </c>
      <c r="B1138" s="151" t="s">
        <v>146</v>
      </c>
      <c r="C1138" s="9" t="s">
        <v>182</v>
      </c>
      <c r="D1138" s="9" t="s">
        <v>139</v>
      </c>
      <c r="E1138" s="769">
        <v>0.26110973500000001</v>
      </c>
      <c r="F1138" s="9">
        <v>2</v>
      </c>
      <c r="G1138" s="9" t="s">
        <v>2011</v>
      </c>
      <c r="H1138" s="9"/>
      <c r="I1138" s="9">
        <v>1</v>
      </c>
      <c r="J1138" s="9">
        <v>1</v>
      </c>
      <c r="K1138" s="9">
        <v>3</v>
      </c>
      <c r="L1138" s="9">
        <v>1</v>
      </c>
      <c r="M1138" s="9">
        <v>2</v>
      </c>
      <c r="N1138" s="185" t="str">
        <f t="shared" si="89"/>
        <v/>
      </c>
      <c r="O1138" s="159">
        <f t="shared" si="90"/>
        <v>0.47802211380704585</v>
      </c>
      <c r="P1138" s="639"/>
    </row>
    <row r="1139" spans="1:16" hidden="1">
      <c r="A1139" s="151" t="s">
        <v>284</v>
      </c>
      <c r="B1139" s="151" t="s">
        <v>149</v>
      </c>
      <c r="C1139" s="9" t="s">
        <v>182</v>
      </c>
      <c r="D1139" s="9" t="s">
        <v>139</v>
      </c>
      <c r="E1139" s="769">
        <v>0.16236634799999999</v>
      </c>
      <c r="F1139" s="9">
        <v>2</v>
      </c>
      <c r="G1139" s="9" t="s">
        <v>2011</v>
      </c>
      <c r="H1139" s="9"/>
      <c r="I1139" s="9">
        <v>1</v>
      </c>
      <c r="J1139" s="9">
        <v>1</v>
      </c>
      <c r="K1139" s="9">
        <v>3</v>
      </c>
      <c r="L1139" s="9">
        <v>1</v>
      </c>
      <c r="M1139" s="9">
        <v>2</v>
      </c>
      <c r="N1139" s="185" t="str">
        <f t="shared" si="89"/>
        <v/>
      </c>
      <c r="O1139" s="159">
        <f t="shared" si="90"/>
        <v>0.47802211380704585</v>
      </c>
      <c r="P1139" s="639"/>
    </row>
    <row r="1140" spans="1:16" hidden="1">
      <c r="A1140" s="151" t="s">
        <v>284</v>
      </c>
      <c r="B1140" s="151" t="s">
        <v>184</v>
      </c>
      <c r="C1140" s="9" t="s">
        <v>182</v>
      </c>
      <c r="D1140" s="9" t="s">
        <v>139</v>
      </c>
      <c r="E1140" s="769">
        <v>5.6761449999999998E-2</v>
      </c>
      <c r="F1140" s="9">
        <v>2</v>
      </c>
      <c r="G1140" s="9" t="s">
        <v>2011</v>
      </c>
      <c r="H1140" s="9"/>
      <c r="I1140" s="9">
        <v>1</v>
      </c>
      <c r="J1140" s="9">
        <v>1</v>
      </c>
      <c r="K1140" s="9">
        <v>3</v>
      </c>
      <c r="L1140" s="9">
        <v>1</v>
      </c>
      <c r="M1140" s="9">
        <v>2</v>
      </c>
      <c r="N1140" s="185" t="str">
        <f t="shared" si="89"/>
        <v/>
      </c>
      <c r="O1140" s="159">
        <f t="shared" si="90"/>
        <v>0.47802211380704585</v>
      </c>
      <c r="P1140" s="639"/>
    </row>
    <row r="1141" spans="1:16" hidden="1">
      <c r="A1141" s="151" t="s">
        <v>284</v>
      </c>
      <c r="B1141" s="151" t="s">
        <v>248</v>
      </c>
      <c r="C1141" s="9" t="s">
        <v>182</v>
      </c>
      <c r="D1141" s="9" t="s">
        <v>139</v>
      </c>
      <c r="E1141" s="769">
        <v>0.122732613</v>
      </c>
      <c r="F1141" s="9">
        <v>2</v>
      </c>
      <c r="G1141" s="9" t="s">
        <v>2011</v>
      </c>
      <c r="H1141" s="9"/>
      <c r="I1141" s="9">
        <v>1</v>
      </c>
      <c r="J1141" s="9">
        <v>1</v>
      </c>
      <c r="K1141" s="9">
        <v>3</v>
      </c>
      <c r="L1141" s="9">
        <v>1</v>
      </c>
      <c r="M1141" s="9">
        <v>2</v>
      </c>
      <c r="N1141" s="185" t="str">
        <f t="shared" si="89"/>
        <v/>
      </c>
      <c r="O1141" s="159">
        <f t="shared" si="90"/>
        <v>0.47802211380704585</v>
      </c>
      <c r="P1141" s="639" t="s">
        <v>2012</v>
      </c>
    </row>
    <row r="1142" spans="1:16" customFormat="1" hidden="1">
      <c r="A1142" t="s">
        <v>2039</v>
      </c>
      <c r="B1142" t="s">
        <v>108</v>
      </c>
      <c r="C1142" t="s">
        <v>180</v>
      </c>
      <c r="D1142" t="s">
        <v>139</v>
      </c>
      <c r="E1142">
        <v>1</v>
      </c>
      <c r="F1142">
        <v>1</v>
      </c>
      <c r="G1142" t="s">
        <v>157</v>
      </c>
      <c r="H1142">
        <v>1</v>
      </c>
      <c r="J1142" s="754">
        <v>1</v>
      </c>
      <c r="K1142" s="754">
        <v>1</v>
      </c>
      <c r="L1142" s="754">
        <v>1</v>
      </c>
      <c r="M1142" s="754">
        <v>1</v>
      </c>
      <c r="O1142" t="str">
        <f t="shared" si="90"/>
        <v/>
      </c>
    </row>
    <row r="1143" spans="1:16" customFormat="1" hidden="1">
      <c r="A1143" t="str">
        <f>Clothing!A351</f>
        <v>Clothing (product sector)</v>
      </c>
      <c r="B1143" t="str">
        <f>Clothing!B351</f>
        <v>Apparel accessories</v>
      </c>
      <c r="C1143" t="str">
        <f>Clothing!C351</f>
        <v>NL</v>
      </c>
      <c r="D1143" t="str">
        <f>Clothing!D351</f>
        <v>Acryl</v>
      </c>
      <c r="E1143">
        <f>Clothing!E351</f>
        <v>0.17880344000000001</v>
      </c>
      <c r="F1143">
        <f>Clothing!F351</f>
        <v>1</v>
      </c>
      <c r="G1143" t="str">
        <f>Clothing!G351</f>
        <v>https://eeb.org/library/draft-product-environmental-footprint-category-rules-pefcr-apparel-and-footwear/</v>
      </c>
      <c r="H1143">
        <f>Clothing!H351</f>
        <v>2</v>
      </c>
      <c r="I1143">
        <f>Clothing!I351</f>
        <v>0</v>
      </c>
      <c r="J1143">
        <f>Clothing!J351</f>
        <v>2</v>
      </c>
      <c r="K1143">
        <f>Clothing!K351</f>
        <v>1</v>
      </c>
      <c r="L1143">
        <f>Clothing!L351</f>
        <v>2</v>
      </c>
      <c r="M1143">
        <f>Clothing!M351</f>
        <v>3</v>
      </c>
      <c r="N1143">
        <f t="shared" si="89"/>
        <v>1.0301997916669636</v>
      </c>
      <c r="O1143">
        <f t="shared" si="90"/>
        <v>1.0242794655813865</v>
      </c>
    </row>
    <row r="1144" spans="1:16" customFormat="1" hidden="1">
      <c r="A1144" t="str">
        <f>Clothing!A352</f>
        <v>Clothing (product sector)</v>
      </c>
      <c r="B1144" t="str">
        <f>Clothing!B352</f>
        <v>Apparel accessories</v>
      </c>
      <c r="C1144" t="str">
        <f>Clothing!C352</f>
        <v>NL</v>
      </c>
      <c r="D1144" t="str">
        <f>Clothing!D352</f>
        <v>OTHER</v>
      </c>
      <c r="E1144">
        <f>Clothing!E352</f>
        <v>1.463661E-3</v>
      </c>
      <c r="F1144">
        <f>Clothing!F352</f>
        <v>1</v>
      </c>
      <c r="G1144" t="str">
        <f>Clothing!G352</f>
        <v>https://eeb.org/library/draft-product-environmental-footprint-category-rules-pefcr-apparel-and-footwear/</v>
      </c>
      <c r="H1144">
        <f>Clothing!H352</f>
        <v>2</v>
      </c>
      <c r="I1144">
        <f>Clothing!I352</f>
        <v>0</v>
      </c>
      <c r="J1144">
        <f>Clothing!J352</f>
        <v>2</v>
      </c>
      <c r="K1144">
        <f>Clothing!K352</f>
        <v>1</v>
      </c>
      <c r="L1144">
        <f>Clothing!L352</f>
        <v>2</v>
      </c>
      <c r="M1144">
        <f>Clothing!M352</f>
        <v>3</v>
      </c>
      <c r="N1144">
        <f t="shared" si="89"/>
        <v>1.0301997916669636</v>
      </c>
      <c r="O1144">
        <f t="shared" si="90"/>
        <v>1.0242794655813865</v>
      </c>
    </row>
    <row r="1145" spans="1:16" customFormat="1" hidden="1">
      <c r="A1145" t="str">
        <f>Clothing!A353</f>
        <v>Clothing (product sector)</v>
      </c>
      <c r="B1145" t="str">
        <f>Clothing!B353</f>
        <v>Apparel accessories</v>
      </c>
      <c r="C1145" t="str">
        <f>Clothing!C353</f>
        <v>NL</v>
      </c>
      <c r="D1145" t="str">
        <f>Clothing!D353</f>
        <v>PA</v>
      </c>
      <c r="E1145">
        <f>Clothing!E353</f>
        <v>1.9180867000000001E-2</v>
      </c>
      <c r="F1145">
        <f>Clothing!F353</f>
        <v>1</v>
      </c>
      <c r="G1145" t="str">
        <f>Clothing!G353</f>
        <v>https://eeb.org/library/draft-product-environmental-footprint-category-rules-pefcr-apparel-and-footwear/</v>
      </c>
      <c r="H1145">
        <f>Clothing!H353</f>
        <v>2</v>
      </c>
      <c r="I1145">
        <f>Clothing!I353</f>
        <v>0</v>
      </c>
      <c r="J1145">
        <f>Clothing!J353</f>
        <v>2</v>
      </c>
      <c r="K1145">
        <f>Clothing!K353</f>
        <v>1</v>
      </c>
      <c r="L1145">
        <f>Clothing!L353</f>
        <v>2</v>
      </c>
      <c r="M1145">
        <f>Clothing!M353</f>
        <v>3</v>
      </c>
      <c r="N1145">
        <f t="shared" si="89"/>
        <v>1.0301997916669636</v>
      </c>
      <c r="O1145">
        <f t="shared" si="90"/>
        <v>1.0242794655813865</v>
      </c>
    </row>
    <row r="1146" spans="1:16" customFormat="1" hidden="1">
      <c r="A1146" t="str">
        <f>Clothing!A354</f>
        <v>Clothing (product sector)</v>
      </c>
      <c r="B1146" t="str">
        <f>Clothing!B354</f>
        <v>Apparel accessories</v>
      </c>
      <c r="C1146" t="str">
        <f>Clothing!C354</f>
        <v>NL</v>
      </c>
      <c r="D1146" t="str">
        <f>Clothing!D354</f>
        <v>PET</v>
      </c>
      <c r="E1146">
        <f>Clothing!E354</f>
        <v>3.0492526999999998E-2</v>
      </c>
      <c r="F1146">
        <f>Clothing!F354</f>
        <v>1</v>
      </c>
      <c r="G1146" t="str">
        <f>Clothing!G354</f>
        <v>https://eeb.org/library/draft-product-environmental-footprint-category-rules-pefcr-apparel-and-footwear/</v>
      </c>
      <c r="H1146">
        <f>Clothing!H354</f>
        <v>2</v>
      </c>
      <c r="I1146">
        <f>Clothing!I354</f>
        <v>0</v>
      </c>
      <c r="J1146">
        <f>Clothing!J354</f>
        <v>2</v>
      </c>
      <c r="K1146">
        <f>Clothing!K354</f>
        <v>1</v>
      </c>
      <c r="L1146">
        <f>Clothing!L354</f>
        <v>2</v>
      </c>
      <c r="M1146">
        <f>Clothing!M354</f>
        <v>3</v>
      </c>
      <c r="N1146">
        <f t="shared" si="89"/>
        <v>1.0301997916669636</v>
      </c>
      <c r="O1146">
        <f t="shared" si="90"/>
        <v>1.0242794655813865</v>
      </c>
    </row>
    <row r="1147" spans="1:16" customFormat="1" hidden="1">
      <c r="A1147" t="str">
        <f>Clothing!A355</f>
        <v>Clothing (product sector)</v>
      </c>
      <c r="B1147" t="str">
        <f>Clothing!B355</f>
        <v>Boots</v>
      </c>
      <c r="C1147" t="str">
        <f>Clothing!C355</f>
        <v>NL</v>
      </c>
      <c r="D1147" t="str">
        <f>Clothing!D355</f>
        <v>OTHER</v>
      </c>
      <c r="E1147">
        <f>Clothing!E355</f>
        <v>1.5850409999999999E-2</v>
      </c>
      <c r="F1147">
        <f>Clothing!F355</f>
        <v>1</v>
      </c>
      <c r="G1147" t="str">
        <f>Clothing!G355</f>
        <v>https://eeb.org/library/draft-product-environmental-footprint-category-rules-pefcr-apparel-and-footwear/</v>
      </c>
      <c r="H1147">
        <f>Clothing!H355</f>
        <v>2</v>
      </c>
      <c r="I1147">
        <f>Clothing!I355</f>
        <v>0</v>
      </c>
      <c r="J1147">
        <f>Clothing!J355</f>
        <v>2</v>
      </c>
      <c r="K1147">
        <f>Clothing!K355</f>
        <v>1</v>
      </c>
      <c r="L1147">
        <f>Clothing!L355</f>
        <v>2</v>
      </c>
      <c r="M1147">
        <f>Clothing!M355</f>
        <v>3</v>
      </c>
      <c r="N1147">
        <f t="shared" si="89"/>
        <v>1.0301997916669636</v>
      </c>
      <c r="O1147">
        <f t="shared" si="90"/>
        <v>1.0242794655813865</v>
      </c>
    </row>
    <row r="1148" spans="1:16" customFormat="1" hidden="1">
      <c r="A1148" t="str">
        <f>Clothing!A356</f>
        <v>Clothing (product sector)</v>
      </c>
      <c r="B1148" t="str">
        <f>Clothing!B356</f>
        <v>Boots</v>
      </c>
      <c r="C1148" t="str">
        <f>Clothing!C356</f>
        <v>NL</v>
      </c>
      <c r="D1148" t="str">
        <f>Clothing!D356</f>
        <v>PA</v>
      </c>
      <c r="E1148">
        <f>Clothing!E356</f>
        <v>3.6350166000000003E-2</v>
      </c>
      <c r="F1148">
        <f>Clothing!F356</f>
        <v>1</v>
      </c>
      <c r="G1148" t="str">
        <f>Clothing!G356</f>
        <v>https://eeb.org/library/draft-product-environmental-footprint-category-rules-pefcr-apparel-and-footwear/</v>
      </c>
      <c r="H1148">
        <f>Clothing!H356</f>
        <v>2</v>
      </c>
      <c r="I1148">
        <f>Clothing!I356</f>
        <v>0</v>
      </c>
      <c r="J1148">
        <f>Clothing!J356</f>
        <v>2</v>
      </c>
      <c r="K1148">
        <f>Clothing!K356</f>
        <v>1</v>
      </c>
      <c r="L1148">
        <f>Clothing!L356</f>
        <v>2</v>
      </c>
      <c r="M1148">
        <f>Clothing!M356</f>
        <v>3</v>
      </c>
      <c r="N1148">
        <f t="shared" si="89"/>
        <v>1.0301997916669636</v>
      </c>
      <c r="O1148">
        <f t="shared" si="90"/>
        <v>1.0242794655813865</v>
      </c>
    </row>
    <row r="1149" spans="1:16" customFormat="1" hidden="1">
      <c r="A1149" t="str">
        <f>Clothing!A357</f>
        <v>Clothing (product sector)</v>
      </c>
      <c r="B1149" t="str">
        <f>Clothing!B357</f>
        <v>Boots</v>
      </c>
      <c r="C1149" t="str">
        <f>Clothing!C357</f>
        <v>NL</v>
      </c>
      <c r="D1149" t="str">
        <f>Clothing!D357</f>
        <v>PET</v>
      </c>
      <c r="E1149">
        <f>Clothing!E357</f>
        <v>4.0375331E-2</v>
      </c>
      <c r="F1149">
        <f>Clothing!F357</f>
        <v>1</v>
      </c>
      <c r="G1149" t="str">
        <f>Clothing!G357</f>
        <v>https://eeb.org/library/draft-product-environmental-footprint-category-rules-pefcr-apparel-and-footwear/</v>
      </c>
      <c r="H1149">
        <f>Clothing!H357</f>
        <v>2</v>
      </c>
      <c r="I1149">
        <f>Clothing!I357</f>
        <v>0</v>
      </c>
      <c r="J1149">
        <f>Clothing!J357</f>
        <v>2</v>
      </c>
      <c r="K1149">
        <f>Clothing!K357</f>
        <v>1</v>
      </c>
      <c r="L1149">
        <f>Clothing!L357</f>
        <v>2</v>
      </c>
      <c r="M1149">
        <f>Clothing!M357</f>
        <v>3</v>
      </c>
      <c r="N1149">
        <f t="shared" si="89"/>
        <v>1.0301997916669636</v>
      </c>
      <c r="O1149">
        <f t="shared" si="90"/>
        <v>1.0242794655813865</v>
      </c>
    </row>
    <row r="1150" spans="1:16" customFormat="1" hidden="1">
      <c r="A1150" t="str">
        <f>Clothing!A358</f>
        <v>Clothing (product sector)</v>
      </c>
      <c r="B1150" t="str">
        <f>Clothing!B358</f>
        <v>Boots</v>
      </c>
      <c r="C1150" t="str">
        <f>Clothing!C358</f>
        <v>NL</v>
      </c>
      <c r="D1150" t="str">
        <f>Clothing!D358</f>
        <v>PUR</v>
      </c>
      <c r="E1150">
        <f>Clothing!E358</f>
        <v>0.49830867699999998</v>
      </c>
      <c r="F1150">
        <f>Clothing!F358</f>
        <v>1</v>
      </c>
      <c r="G1150" t="str">
        <f>Clothing!G358</f>
        <v>https://eeb.org/library/draft-product-environmental-footprint-category-rules-pefcr-apparel-and-footwear/</v>
      </c>
      <c r="H1150">
        <f>Clothing!H358</f>
        <v>2</v>
      </c>
      <c r="I1150">
        <f>Clothing!I358</f>
        <v>0</v>
      </c>
      <c r="J1150">
        <f>Clothing!J358</f>
        <v>2</v>
      </c>
      <c r="K1150">
        <f>Clothing!K358</f>
        <v>1</v>
      </c>
      <c r="L1150">
        <f>Clothing!L358</f>
        <v>2</v>
      </c>
      <c r="M1150">
        <f>Clothing!M358</f>
        <v>3</v>
      </c>
      <c r="N1150">
        <f t="shared" si="89"/>
        <v>1.0301997916669636</v>
      </c>
      <c r="O1150">
        <f t="shared" si="90"/>
        <v>1.0242794655813865</v>
      </c>
    </row>
    <row r="1151" spans="1:16" customFormat="1" hidden="1">
      <c r="A1151" t="str">
        <f>Clothing!A359</f>
        <v>Clothing (product sector)</v>
      </c>
      <c r="B1151" t="str">
        <f>Clothing!B359</f>
        <v>Boots</v>
      </c>
      <c r="C1151" t="str">
        <f>Clothing!C359</f>
        <v>NL</v>
      </c>
      <c r="D1151" t="str">
        <f>Clothing!D359</f>
        <v>PVC</v>
      </c>
      <c r="E1151">
        <f>Clothing!E359</f>
        <v>0.45898524299999999</v>
      </c>
      <c r="F1151">
        <f>Clothing!F359</f>
        <v>1</v>
      </c>
      <c r="G1151" t="str">
        <f>Clothing!G359</f>
        <v>https://eeb.org/library/draft-product-environmental-footprint-category-rules-pefcr-apparel-and-footwear/</v>
      </c>
      <c r="H1151">
        <f>Clothing!H359</f>
        <v>2</v>
      </c>
      <c r="I1151">
        <f>Clothing!I359</f>
        <v>0</v>
      </c>
      <c r="J1151">
        <f>Clothing!J359</f>
        <v>2</v>
      </c>
      <c r="K1151">
        <f>Clothing!K359</f>
        <v>1</v>
      </c>
      <c r="L1151">
        <f>Clothing!L359</f>
        <v>2</v>
      </c>
      <c r="M1151">
        <f>Clothing!M359</f>
        <v>3</v>
      </c>
      <c r="N1151">
        <f t="shared" si="89"/>
        <v>1.0301997916669636</v>
      </c>
      <c r="O1151">
        <f t="shared" si="90"/>
        <v>1.0242794655813865</v>
      </c>
    </row>
    <row r="1152" spans="1:16" customFormat="1" hidden="1">
      <c r="A1152" t="str">
        <f>Clothing!A360</f>
        <v>Clothing (product sector)</v>
      </c>
      <c r="B1152" t="str">
        <f>Clothing!B360</f>
        <v>Boots</v>
      </c>
      <c r="C1152" t="str">
        <f>Clothing!C360</f>
        <v>NL</v>
      </c>
      <c r="D1152" t="str">
        <f>Clothing!D360</f>
        <v>RUBBER</v>
      </c>
      <c r="E1152">
        <f>Clothing!E360</f>
        <v>0.19374356000000001</v>
      </c>
      <c r="F1152">
        <f>Clothing!F360</f>
        <v>1</v>
      </c>
      <c r="G1152" t="str">
        <f>Clothing!G360</f>
        <v>https://eeb.org/library/draft-product-environmental-footprint-category-rules-pefcr-apparel-and-footwear/</v>
      </c>
      <c r="H1152">
        <f>Clothing!H360</f>
        <v>2</v>
      </c>
      <c r="I1152">
        <f>Clothing!I360</f>
        <v>0</v>
      </c>
      <c r="J1152">
        <f>Clothing!J360</f>
        <v>2</v>
      </c>
      <c r="K1152">
        <f>Clothing!K360</f>
        <v>1</v>
      </c>
      <c r="L1152">
        <f>Clothing!L360</f>
        <v>2</v>
      </c>
      <c r="M1152">
        <f>Clothing!M360</f>
        <v>3</v>
      </c>
      <c r="N1152">
        <f t="shared" si="89"/>
        <v>1.0301997916669636</v>
      </c>
      <c r="O1152">
        <f t="shared" si="90"/>
        <v>1.0242794655813865</v>
      </c>
    </row>
    <row r="1153" spans="1:15" customFormat="1" hidden="1">
      <c r="A1153" t="str">
        <f>Clothing!A361</f>
        <v>Clothing (product sector)</v>
      </c>
      <c r="B1153" t="str">
        <f>Clothing!B361</f>
        <v>Closed-toed shoes</v>
      </c>
      <c r="C1153" t="str">
        <f>Clothing!C361</f>
        <v>NL</v>
      </c>
      <c r="D1153" t="str">
        <f>Clothing!D361</f>
        <v>OTHER</v>
      </c>
      <c r="E1153">
        <f>Clothing!E361</f>
        <v>0.26250200600000001</v>
      </c>
      <c r="F1153">
        <f>Clothing!F361</f>
        <v>1</v>
      </c>
      <c r="G1153" t="str">
        <f>Clothing!G361</f>
        <v>https://eeb.org/library/draft-product-environmental-footprint-category-rules-pefcr-apparel-and-footwear/</v>
      </c>
      <c r="H1153">
        <f>Clothing!H361</f>
        <v>2</v>
      </c>
      <c r="I1153">
        <f>Clothing!I361</f>
        <v>0</v>
      </c>
      <c r="J1153">
        <f>Clothing!J361</f>
        <v>2</v>
      </c>
      <c r="K1153">
        <f>Clothing!K361</f>
        <v>1</v>
      </c>
      <c r="L1153">
        <f>Clothing!L361</f>
        <v>2</v>
      </c>
      <c r="M1153">
        <f>Clothing!M361</f>
        <v>3</v>
      </c>
      <c r="N1153">
        <f t="shared" si="89"/>
        <v>1.0301997916669636</v>
      </c>
      <c r="O1153">
        <f t="shared" si="90"/>
        <v>1.0242794655813865</v>
      </c>
    </row>
    <row r="1154" spans="1:15" customFormat="1" hidden="1">
      <c r="A1154" t="str">
        <f>Clothing!A362</f>
        <v>Clothing (product sector)</v>
      </c>
      <c r="B1154" t="str">
        <f>Clothing!B362</f>
        <v>Closed-toed shoes</v>
      </c>
      <c r="C1154" t="str">
        <f>Clothing!C362</f>
        <v>NL</v>
      </c>
      <c r="D1154" t="str">
        <f>Clothing!D362</f>
        <v>PA</v>
      </c>
      <c r="E1154">
        <f>Clothing!E362</f>
        <v>7.8522105999999994E-2</v>
      </c>
      <c r="F1154">
        <f>Clothing!F362</f>
        <v>1</v>
      </c>
      <c r="G1154" t="str">
        <f>Clothing!G362</f>
        <v>https://eeb.org/library/draft-product-environmental-footprint-category-rules-pefcr-apparel-and-footwear/</v>
      </c>
      <c r="H1154">
        <f>Clothing!H362</f>
        <v>2</v>
      </c>
      <c r="I1154">
        <f>Clothing!I362</f>
        <v>0</v>
      </c>
      <c r="J1154">
        <f>Clothing!J362</f>
        <v>2</v>
      </c>
      <c r="K1154">
        <f>Clothing!K362</f>
        <v>1</v>
      </c>
      <c r="L1154">
        <f>Clothing!L362</f>
        <v>2</v>
      </c>
      <c r="M1154">
        <f>Clothing!M362</f>
        <v>3</v>
      </c>
      <c r="N1154">
        <f t="shared" si="89"/>
        <v>1.0301997916669636</v>
      </c>
      <c r="O1154">
        <f t="shared" si="90"/>
        <v>1.0242794655813865</v>
      </c>
    </row>
    <row r="1155" spans="1:15" customFormat="1" hidden="1">
      <c r="A1155" t="str">
        <f>Clothing!A363</f>
        <v>Clothing (product sector)</v>
      </c>
      <c r="B1155" t="str">
        <f>Clothing!B363</f>
        <v>Closed-toed shoes</v>
      </c>
      <c r="C1155" t="str">
        <f>Clothing!C363</f>
        <v>NL</v>
      </c>
      <c r="D1155" t="str">
        <f>Clothing!D363</f>
        <v>PET</v>
      </c>
      <c r="E1155">
        <f>Clothing!E363</f>
        <v>0.16171503700000001</v>
      </c>
      <c r="F1155">
        <f>Clothing!F363</f>
        <v>1</v>
      </c>
      <c r="G1155" t="str">
        <f>Clothing!G363</f>
        <v>https://eeb.org/library/draft-product-environmental-footprint-category-rules-pefcr-apparel-and-footwear/</v>
      </c>
      <c r="H1155">
        <f>Clothing!H363</f>
        <v>2</v>
      </c>
      <c r="I1155">
        <f>Clothing!I363</f>
        <v>0</v>
      </c>
      <c r="J1155">
        <f>Clothing!J363</f>
        <v>2</v>
      </c>
      <c r="K1155">
        <f>Clothing!K363</f>
        <v>1</v>
      </c>
      <c r="L1155">
        <f>Clothing!L363</f>
        <v>2</v>
      </c>
      <c r="M1155">
        <f>Clothing!M363</f>
        <v>3</v>
      </c>
      <c r="N1155">
        <f t="shared" si="89"/>
        <v>1.0301997916669636</v>
      </c>
      <c r="O1155">
        <f t="shared" si="90"/>
        <v>1.0242794655813865</v>
      </c>
    </row>
    <row r="1156" spans="1:15" customFormat="1" hidden="1">
      <c r="A1156" t="str">
        <f>Clothing!A364</f>
        <v>Clothing (product sector)</v>
      </c>
      <c r="B1156" t="str">
        <f>Clothing!B364</f>
        <v>Closed-toed shoes</v>
      </c>
      <c r="C1156" t="str">
        <f>Clothing!C364</f>
        <v>NL</v>
      </c>
      <c r="D1156" t="str">
        <f>Clothing!D364</f>
        <v>PUR</v>
      </c>
      <c r="E1156">
        <f>Clothing!E364</f>
        <v>0.40365957699999999</v>
      </c>
      <c r="F1156">
        <f>Clothing!F364</f>
        <v>1</v>
      </c>
      <c r="G1156" t="str">
        <f>Clothing!G364</f>
        <v>https://eeb.org/library/draft-product-environmental-footprint-category-rules-pefcr-apparel-and-footwear/</v>
      </c>
      <c r="H1156">
        <f>Clothing!H364</f>
        <v>2</v>
      </c>
      <c r="I1156">
        <f>Clothing!I364</f>
        <v>0</v>
      </c>
      <c r="J1156">
        <f>Clothing!J364</f>
        <v>2</v>
      </c>
      <c r="K1156">
        <f>Clothing!K364</f>
        <v>1</v>
      </c>
      <c r="L1156">
        <f>Clothing!L364</f>
        <v>2</v>
      </c>
      <c r="M1156">
        <f>Clothing!M364</f>
        <v>3</v>
      </c>
      <c r="N1156">
        <f t="shared" si="89"/>
        <v>1.0301997916669636</v>
      </c>
      <c r="O1156">
        <f t="shared" si="90"/>
        <v>1.0242794655813865</v>
      </c>
    </row>
    <row r="1157" spans="1:15" customFormat="1" hidden="1">
      <c r="A1157" t="str">
        <f>Clothing!A365</f>
        <v>Clothing (product sector)</v>
      </c>
      <c r="B1157" t="str">
        <f>Clothing!B365</f>
        <v>Closed-toed shoes</v>
      </c>
      <c r="C1157" t="str">
        <f>Clothing!C365</f>
        <v>NL</v>
      </c>
      <c r="D1157" t="str">
        <f>Clothing!D365</f>
        <v>PVC</v>
      </c>
      <c r="E1157">
        <f>Clothing!E365</f>
        <v>0.424920301</v>
      </c>
      <c r="F1157">
        <f>Clothing!F365</f>
        <v>1</v>
      </c>
      <c r="G1157" t="str">
        <f>Clothing!G365</f>
        <v>https://eeb.org/library/draft-product-environmental-footprint-category-rules-pefcr-apparel-and-footwear/</v>
      </c>
      <c r="H1157">
        <f>Clothing!H365</f>
        <v>2</v>
      </c>
      <c r="I1157">
        <f>Clothing!I365</f>
        <v>0</v>
      </c>
      <c r="J1157">
        <f>Clothing!J365</f>
        <v>2</v>
      </c>
      <c r="K1157">
        <f>Clothing!K365</f>
        <v>1</v>
      </c>
      <c r="L1157">
        <f>Clothing!L365</f>
        <v>2</v>
      </c>
      <c r="M1157">
        <f>Clothing!M365</f>
        <v>3</v>
      </c>
      <c r="N1157">
        <f t="shared" si="89"/>
        <v>1.0301997916669636</v>
      </c>
      <c r="O1157">
        <f t="shared" si="90"/>
        <v>1.0242794655813865</v>
      </c>
    </row>
    <row r="1158" spans="1:15" customFormat="1" hidden="1">
      <c r="A1158" t="str">
        <f>Clothing!A366</f>
        <v>Clothing (product sector)</v>
      </c>
      <c r="B1158" t="str">
        <f>Clothing!B366</f>
        <v>Closed-toed shoes</v>
      </c>
      <c r="C1158" t="str">
        <f>Clothing!C366</f>
        <v>NL</v>
      </c>
      <c r="D1158" t="str">
        <f>Clothing!D366</f>
        <v>RUBBER</v>
      </c>
      <c r="E1158">
        <f>Clothing!E366</f>
        <v>0.608751602</v>
      </c>
      <c r="F1158">
        <f>Clothing!F366</f>
        <v>1</v>
      </c>
      <c r="G1158" t="str">
        <f>Clothing!G366</f>
        <v>https://eeb.org/library/draft-product-environmental-footprint-category-rules-pefcr-apparel-and-footwear/</v>
      </c>
      <c r="H1158">
        <f>Clothing!H366</f>
        <v>2</v>
      </c>
      <c r="I1158">
        <f>Clothing!I366</f>
        <v>0</v>
      </c>
      <c r="J1158">
        <f>Clothing!J366</f>
        <v>2</v>
      </c>
      <c r="K1158">
        <f>Clothing!K366</f>
        <v>1</v>
      </c>
      <c r="L1158">
        <f>Clothing!L366</f>
        <v>2</v>
      </c>
      <c r="M1158">
        <f>Clothing!M366</f>
        <v>3</v>
      </c>
      <c r="N1158">
        <f t="shared" si="89"/>
        <v>1.0301997916669636</v>
      </c>
      <c r="O1158">
        <f t="shared" si="90"/>
        <v>1.0242794655813865</v>
      </c>
    </row>
    <row r="1159" spans="1:15" customFormat="1" hidden="1">
      <c r="A1159" t="str">
        <f>Clothing!A367</f>
        <v>Clothing (product sector)</v>
      </c>
      <c r="B1159" t="str">
        <f>Clothing!B367</f>
        <v>Dresses skirts and jumpsuits</v>
      </c>
      <c r="C1159" t="str">
        <f>Clothing!C367</f>
        <v>NL</v>
      </c>
      <c r="D1159" t="str">
        <f>Clothing!D367</f>
        <v>Acryl</v>
      </c>
      <c r="E1159">
        <f>Clothing!E367</f>
        <v>0</v>
      </c>
      <c r="F1159">
        <f>Clothing!F367</f>
        <v>1</v>
      </c>
      <c r="G1159" t="str">
        <f>Clothing!G367</f>
        <v>https://eeb.org/library/draft-product-environmental-footprint-category-rules-pefcr-apparel-and-footwear/</v>
      </c>
      <c r="H1159">
        <f>Clothing!H367</f>
        <v>2</v>
      </c>
      <c r="I1159">
        <f>Clothing!I367</f>
        <v>0</v>
      </c>
      <c r="J1159">
        <f>Clothing!J367</f>
        <v>2</v>
      </c>
      <c r="K1159">
        <f>Clothing!K367</f>
        <v>1</v>
      </c>
      <c r="L1159">
        <f>Clothing!L367</f>
        <v>2</v>
      </c>
      <c r="M1159">
        <f>Clothing!M367</f>
        <v>3</v>
      </c>
      <c r="N1159">
        <f t="shared" si="89"/>
        <v>1.0301997916669636</v>
      </c>
      <c r="O1159">
        <f t="shared" si="90"/>
        <v>1.0242794655813865</v>
      </c>
    </row>
    <row r="1160" spans="1:15" customFormat="1" hidden="1">
      <c r="A1160" t="str">
        <f>Clothing!A368</f>
        <v>Clothing (product sector)</v>
      </c>
      <c r="B1160" t="str">
        <f>Clothing!B368</f>
        <v>Dresses skirts and jumpsuits</v>
      </c>
      <c r="C1160" t="str">
        <f>Clothing!C368</f>
        <v>NL</v>
      </c>
      <c r="D1160" t="str">
        <f>Clothing!D368</f>
        <v>OTHER</v>
      </c>
      <c r="E1160">
        <f>Clothing!E368</f>
        <v>1.459066E-3</v>
      </c>
      <c r="F1160">
        <f>Clothing!F368</f>
        <v>1</v>
      </c>
      <c r="G1160" t="str">
        <f>Clothing!G368</f>
        <v>https://eeb.org/library/draft-product-environmental-footprint-category-rules-pefcr-apparel-and-footwear/</v>
      </c>
      <c r="H1160">
        <f>Clothing!H368</f>
        <v>2</v>
      </c>
      <c r="I1160">
        <f>Clothing!I368</f>
        <v>0</v>
      </c>
      <c r="J1160">
        <f>Clothing!J368</f>
        <v>2</v>
      </c>
      <c r="K1160">
        <f>Clothing!K368</f>
        <v>1</v>
      </c>
      <c r="L1160">
        <f>Clothing!L368</f>
        <v>2</v>
      </c>
      <c r="M1160">
        <f>Clothing!M368</f>
        <v>3</v>
      </c>
      <c r="N1160">
        <f t="shared" si="89"/>
        <v>1.0301997916669636</v>
      </c>
      <c r="O1160">
        <f t="shared" si="90"/>
        <v>1.0242794655813865</v>
      </c>
    </row>
    <row r="1161" spans="1:15" customFormat="1" hidden="1">
      <c r="A1161" t="str">
        <f>Clothing!A369</f>
        <v>Clothing (product sector)</v>
      </c>
      <c r="B1161" t="str">
        <f>Clothing!B369</f>
        <v>Dresses skirts and jumpsuits</v>
      </c>
      <c r="C1161" t="str">
        <f>Clothing!C369</f>
        <v>NL</v>
      </c>
      <c r="D1161" t="str">
        <f>Clothing!D369</f>
        <v>PA</v>
      </c>
      <c r="E1161">
        <f>Clothing!E369</f>
        <v>2.6768923999999999E-2</v>
      </c>
      <c r="F1161">
        <f>Clothing!F369</f>
        <v>1</v>
      </c>
      <c r="G1161" t="str">
        <f>Clothing!G369</f>
        <v>https://eeb.org/library/draft-product-environmental-footprint-category-rules-pefcr-apparel-and-footwear/</v>
      </c>
      <c r="H1161">
        <f>Clothing!H369</f>
        <v>2</v>
      </c>
      <c r="I1161">
        <f>Clothing!I369</f>
        <v>0</v>
      </c>
      <c r="J1161">
        <f>Clothing!J369</f>
        <v>2</v>
      </c>
      <c r="K1161">
        <f>Clothing!K369</f>
        <v>1</v>
      </c>
      <c r="L1161">
        <f>Clothing!L369</f>
        <v>2</v>
      </c>
      <c r="M1161">
        <f>Clothing!M369</f>
        <v>3</v>
      </c>
      <c r="N1161">
        <f t="shared" si="89"/>
        <v>1.0301997916669636</v>
      </c>
      <c r="O1161">
        <f t="shared" si="90"/>
        <v>1.0242794655813865</v>
      </c>
    </row>
    <row r="1162" spans="1:15" customFormat="1" hidden="1">
      <c r="A1162" t="str">
        <f>Clothing!A370</f>
        <v>Clothing (product sector)</v>
      </c>
      <c r="B1162" t="str">
        <f>Clothing!B370</f>
        <v>Dresses skirts and jumpsuits</v>
      </c>
      <c r="C1162" t="str">
        <f>Clothing!C370</f>
        <v>NL</v>
      </c>
      <c r="D1162" t="str">
        <f>Clothing!D370</f>
        <v>PET</v>
      </c>
      <c r="E1162">
        <f>Clothing!E370</f>
        <v>3.7166411000000003E-2</v>
      </c>
      <c r="F1162">
        <f>Clothing!F370</f>
        <v>1</v>
      </c>
      <c r="G1162" t="str">
        <f>Clothing!G370</f>
        <v>https://eeb.org/library/draft-product-environmental-footprint-category-rules-pefcr-apparel-and-footwear/</v>
      </c>
      <c r="H1162">
        <f>Clothing!H370</f>
        <v>2</v>
      </c>
      <c r="I1162">
        <f>Clothing!I370</f>
        <v>0</v>
      </c>
      <c r="J1162">
        <f>Clothing!J370</f>
        <v>2</v>
      </c>
      <c r="K1162">
        <f>Clothing!K370</f>
        <v>1</v>
      </c>
      <c r="L1162">
        <f>Clothing!L370</f>
        <v>2</v>
      </c>
      <c r="M1162">
        <f>Clothing!M370</f>
        <v>3</v>
      </c>
      <c r="N1162">
        <f t="shared" si="89"/>
        <v>1.0301997916669636</v>
      </c>
      <c r="O1162">
        <f t="shared" si="90"/>
        <v>1.0242794655813865</v>
      </c>
    </row>
    <row r="1163" spans="1:15" customFormat="1" hidden="1">
      <c r="A1163" t="str">
        <f>Clothing!A371</f>
        <v>Clothing (product sector)</v>
      </c>
      <c r="B1163" t="str">
        <f>Clothing!B371</f>
        <v>Jackets and coats</v>
      </c>
      <c r="C1163" t="str">
        <f>Clothing!C371</f>
        <v>NL</v>
      </c>
      <c r="D1163" t="str">
        <f>Clothing!D371</f>
        <v>Acryl</v>
      </c>
      <c r="E1163">
        <f>Clothing!E371</f>
        <v>0.54133729500000005</v>
      </c>
      <c r="F1163">
        <f>Clothing!F371</f>
        <v>1</v>
      </c>
      <c r="G1163" t="str">
        <f>Clothing!G371</f>
        <v>https://eeb.org/library/draft-product-environmental-footprint-category-rules-pefcr-apparel-and-footwear/</v>
      </c>
      <c r="H1163">
        <f>Clothing!H371</f>
        <v>2</v>
      </c>
      <c r="I1163">
        <f>Clothing!I371</f>
        <v>0</v>
      </c>
      <c r="J1163">
        <f>Clothing!J371</f>
        <v>2</v>
      </c>
      <c r="K1163">
        <f>Clothing!K371</f>
        <v>1</v>
      </c>
      <c r="L1163">
        <f>Clothing!L371</f>
        <v>2</v>
      </c>
      <c r="M1163">
        <f>Clothing!M371</f>
        <v>3</v>
      </c>
      <c r="N1163">
        <f t="shared" si="89"/>
        <v>1.0301997916669636</v>
      </c>
      <c r="O1163">
        <f t="shared" si="90"/>
        <v>1.0242794655813865</v>
      </c>
    </row>
    <row r="1164" spans="1:15" customFormat="1" hidden="1">
      <c r="A1164" t="str">
        <f>Clothing!A372</f>
        <v>Clothing (product sector)</v>
      </c>
      <c r="B1164" t="str">
        <f>Clothing!B372</f>
        <v>Jackets and coats</v>
      </c>
      <c r="C1164" t="str">
        <f>Clothing!C372</f>
        <v>NL</v>
      </c>
      <c r="D1164" t="str">
        <f>Clothing!D372</f>
        <v>OTHER</v>
      </c>
      <c r="E1164">
        <f>Clothing!E372</f>
        <v>6.4455466000000003E-2</v>
      </c>
      <c r="F1164">
        <f>Clothing!F372</f>
        <v>1</v>
      </c>
      <c r="G1164" t="str">
        <f>Clothing!G372</f>
        <v>https://eeb.org/library/draft-product-environmental-footprint-category-rules-pefcr-apparel-and-footwear/</v>
      </c>
      <c r="H1164">
        <f>Clothing!H372</f>
        <v>2</v>
      </c>
      <c r="I1164">
        <f>Clothing!I372</f>
        <v>0</v>
      </c>
      <c r="J1164">
        <f>Clothing!J372</f>
        <v>2</v>
      </c>
      <c r="K1164">
        <f>Clothing!K372</f>
        <v>1</v>
      </c>
      <c r="L1164">
        <f>Clothing!L372</f>
        <v>2</v>
      </c>
      <c r="M1164">
        <f>Clothing!M372</f>
        <v>3</v>
      </c>
      <c r="N1164">
        <f t="shared" si="89"/>
        <v>1.0301997916669636</v>
      </c>
      <c r="O1164">
        <f t="shared" si="90"/>
        <v>1.0242794655813865</v>
      </c>
    </row>
    <row r="1165" spans="1:15" customFormat="1" hidden="1">
      <c r="A1165" t="str">
        <f>Clothing!A373</f>
        <v>Clothing (product sector)</v>
      </c>
      <c r="B1165" t="str">
        <f>Clothing!B373</f>
        <v>Jackets and coats</v>
      </c>
      <c r="C1165" t="str">
        <f>Clothing!C373</f>
        <v>NL</v>
      </c>
      <c r="D1165" t="str">
        <f>Clothing!D373</f>
        <v>PA</v>
      </c>
      <c r="E1165">
        <f>Clothing!E373</f>
        <v>0.31675163699999997</v>
      </c>
      <c r="F1165">
        <f>Clothing!F373</f>
        <v>1</v>
      </c>
      <c r="G1165" t="str">
        <f>Clothing!G373</f>
        <v>https://eeb.org/library/draft-product-environmental-footprint-category-rules-pefcr-apparel-and-footwear/</v>
      </c>
      <c r="H1165">
        <f>Clothing!H373</f>
        <v>2</v>
      </c>
      <c r="I1165">
        <f>Clothing!I373</f>
        <v>0</v>
      </c>
      <c r="J1165">
        <f>Clothing!J373</f>
        <v>2</v>
      </c>
      <c r="K1165">
        <f>Clothing!K373</f>
        <v>1</v>
      </c>
      <c r="L1165">
        <f>Clothing!L373</f>
        <v>2</v>
      </c>
      <c r="M1165">
        <f>Clothing!M373</f>
        <v>3</v>
      </c>
      <c r="N1165">
        <f t="shared" si="89"/>
        <v>1.0301997916669636</v>
      </c>
      <c r="O1165">
        <f t="shared" si="90"/>
        <v>1.0242794655813865</v>
      </c>
    </row>
    <row r="1166" spans="1:15" customFormat="1" hidden="1">
      <c r="A1166" t="str">
        <f>Clothing!A374</f>
        <v>Clothing (product sector)</v>
      </c>
      <c r="B1166" t="str">
        <f>Clothing!B374</f>
        <v>Jackets and coats</v>
      </c>
      <c r="C1166" t="str">
        <f>Clothing!C374</f>
        <v>NL</v>
      </c>
      <c r="D1166" t="str">
        <f>Clothing!D374</f>
        <v>PET</v>
      </c>
      <c r="E1166">
        <f>Clothing!E374</f>
        <v>0.17649963399999999</v>
      </c>
      <c r="F1166">
        <f>Clothing!F374</f>
        <v>1</v>
      </c>
      <c r="G1166" t="str">
        <f>Clothing!G374</f>
        <v>https://eeb.org/library/draft-product-environmental-footprint-category-rules-pefcr-apparel-and-footwear/</v>
      </c>
      <c r="H1166">
        <f>Clothing!H374</f>
        <v>2</v>
      </c>
      <c r="I1166">
        <f>Clothing!I374</f>
        <v>0</v>
      </c>
      <c r="J1166">
        <f>Clothing!J374</f>
        <v>2</v>
      </c>
      <c r="K1166">
        <f>Clothing!K374</f>
        <v>1</v>
      </c>
      <c r="L1166">
        <f>Clothing!L374</f>
        <v>2</v>
      </c>
      <c r="M1166">
        <f>Clothing!M374</f>
        <v>3</v>
      </c>
      <c r="N1166">
        <f t="shared" si="89"/>
        <v>1.0301997916669636</v>
      </c>
      <c r="O1166">
        <f t="shared" si="90"/>
        <v>1.0242794655813865</v>
      </c>
    </row>
    <row r="1167" spans="1:15" customFormat="1" hidden="1">
      <c r="A1167" t="str">
        <f>Clothing!A375</f>
        <v>Clothing (product sector)</v>
      </c>
      <c r="B1167" t="str">
        <f>Clothing!B375</f>
        <v>Leggings stockings tights and socks</v>
      </c>
      <c r="C1167" t="str">
        <f>Clothing!C375</f>
        <v>NL</v>
      </c>
      <c r="D1167" t="str">
        <f>Clothing!D375</f>
        <v>Acryl</v>
      </c>
      <c r="E1167">
        <f>Clothing!E375</f>
        <v>8.7360879999999995E-3</v>
      </c>
      <c r="F1167">
        <f>Clothing!F375</f>
        <v>1</v>
      </c>
      <c r="G1167" t="str">
        <f>Clothing!G375</f>
        <v>https://eeb.org/library/draft-product-environmental-footprint-category-rules-pefcr-apparel-and-footwear/</v>
      </c>
      <c r="H1167">
        <f>Clothing!H375</f>
        <v>2</v>
      </c>
      <c r="I1167">
        <f>Clothing!I375</f>
        <v>0</v>
      </c>
      <c r="J1167">
        <f>Clothing!J375</f>
        <v>2</v>
      </c>
      <c r="K1167">
        <f>Clothing!K375</f>
        <v>1</v>
      </c>
      <c r="L1167">
        <f>Clothing!L375</f>
        <v>2</v>
      </c>
      <c r="M1167">
        <f>Clothing!M375</f>
        <v>3</v>
      </c>
      <c r="N1167">
        <f t="shared" si="89"/>
        <v>1.0301997916669636</v>
      </c>
      <c r="O1167">
        <f t="shared" si="90"/>
        <v>1.0242794655813865</v>
      </c>
    </row>
    <row r="1168" spans="1:15" customFormat="1" hidden="1">
      <c r="A1168" t="str">
        <f>Clothing!A376</f>
        <v>Clothing (product sector)</v>
      </c>
      <c r="B1168" t="str">
        <f>Clothing!B376</f>
        <v>Leggings stockings tights and socks</v>
      </c>
      <c r="C1168" t="str">
        <f>Clothing!C376</f>
        <v>NL</v>
      </c>
      <c r="D1168" t="str">
        <f>Clothing!D376</f>
        <v>OTHER</v>
      </c>
      <c r="E1168">
        <f>Clothing!E376</f>
        <v>6.351471E-3</v>
      </c>
      <c r="F1168">
        <f>Clothing!F376</f>
        <v>1</v>
      </c>
      <c r="G1168" t="str">
        <f>Clothing!G376</f>
        <v>https://eeb.org/library/draft-product-environmental-footprint-category-rules-pefcr-apparel-and-footwear/</v>
      </c>
      <c r="H1168">
        <f>Clothing!H376</f>
        <v>2</v>
      </c>
      <c r="I1168">
        <f>Clothing!I376</f>
        <v>0</v>
      </c>
      <c r="J1168">
        <f>Clothing!J376</f>
        <v>2</v>
      </c>
      <c r="K1168">
        <f>Clothing!K376</f>
        <v>1</v>
      </c>
      <c r="L1168">
        <f>Clothing!L376</f>
        <v>2</v>
      </c>
      <c r="M1168">
        <f>Clothing!M376</f>
        <v>3</v>
      </c>
      <c r="N1168">
        <f t="shared" si="89"/>
        <v>1.0301997916669636</v>
      </c>
      <c r="O1168">
        <f t="shared" si="90"/>
        <v>1.0242794655813865</v>
      </c>
    </row>
    <row r="1169" spans="1:15" customFormat="1" hidden="1">
      <c r="A1169" t="str">
        <f>Clothing!A377</f>
        <v>Clothing (product sector)</v>
      </c>
      <c r="B1169" t="str">
        <f>Clothing!B377</f>
        <v>Leggings stockings tights and socks</v>
      </c>
      <c r="C1169" t="str">
        <f>Clothing!C377</f>
        <v>NL</v>
      </c>
      <c r="D1169" t="str">
        <f>Clothing!D377</f>
        <v>PA</v>
      </c>
      <c r="E1169">
        <f>Clothing!E377</f>
        <v>1.6600953000000002E-2</v>
      </c>
      <c r="F1169">
        <f>Clothing!F377</f>
        <v>1</v>
      </c>
      <c r="G1169" t="str">
        <f>Clothing!G377</f>
        <v>https://eeb.org/library/draft-product-environmental-footprint-category-rules-pefcr-apparel-and-footwear/</v>
      </c>
      <c r="H1169">
        <f>Clothing!H377</f>
        <v>2</v>
      </c>
      <c r="I1169">
        <f>Clothing!I377</f>
        <v>0</v>
      </c>
      <c r="J1169">
        <f>Clothing!J377</f>
        <v>2</v>
      </c>
      <c r="K1169">
        <f>Clothing!K377</f>
        <v>1</v>
      </c>
      <c r="L1169">
        <f>Clothing!L377</f>
        <v>2</v>
      </c>
      <c r="M1169">
        <f>Clothing!M377</f>
        <v>3</v>
      </c>
      <c r="N1169">
        <f t="shared" si="89"/>
        <v>1.0301997916669636</v>
      </c>
      <c r="O1169">
        <f t="shared" si="90"/>
        <v>1.0242794655813865</v>
      </c>
    </row>
    <row r="1170" spans="1:15" customFormat="1" hidden="1">
      <c r="A1170" t="str">
        <f>Clothing!A378</f>
        <v>Clothing (product sector)</v>
      </c>
      <c r="B1170" t="str">
        <f>Clothing!B378</f>
        <v>Leggings stockings tights and socks</v>
      </c>
      <c r="C1170" t="str">
        <f>Clothing!C378</f>
        <v>NL</v>
      </c>
      <c r="D1170" t="str">
        <f>Clothing!D378</f>
        <v>PET</v>
      </c>
      <c r="E1170">
        <f>Clothing!E378</f>
        <v>2.3272089999999998E-3</v>
      </c>
      <c r="F1170">
        <f>Clothing!F378</f>
        <v>1</v>
      </c>
      <c r="G1170" t="str">
        <f>Clothing!G378</f>
        <v>https://eeb.org/library/draft-product-environmental-footprint-category-rules-pefcr-apparel-and-footwear/</v>
      </c>
      <c r="H1170">
        <f>Clothing!H378</f>
        <v>2</v>
      </c>
      <c r="I1170">
        <f>Clothing!I378</f>
        <v>0</v>
      </c>
      <c r="J1170">
        <f>Clothing!J378</f>
        <v>2</v>
      </c>
      <c r="K1170">
        <f>Clothing!K378</f>
        <v>1</v>
      </c>
      <c r="L1170">
        <f>Clothing!L378</f>
        <v>2</v>
      </c>
      <c r="M1170">
        <f>Clothing!M378</f>
        <v>3</v>
      </c>
      <c r="N1170">
        <f t="shared" si="89"/>
        <v>1.0301997916669636</v>
      </c>
      <c r="O1170">
        <f t="shared" si="90"/>
        <v>1.0242794655813865</v>
      </c>
    </row>
    <row r="1171" spans="1:15" customFormat="1" hidden="1">
      <c r="A1171" t="str">
        <f>Clothing!A379</f>
        <v>Clothing (product sector)</v>
      </c>
      <c r="B1171" t="str">
        <f>Clothing!B379</f>
        <v>Open-toed shoes</v>
      </c>
      <c r="C1171" t="str">
        <f>Clothing!C379</f>
        <v>NL</v>
      </c>
      <c r="D1171" t="str">
        <f>Clothing!D379</f>
        <v>OTHER</v>
      </c>
      <c r="E1171">
        <f>Clothing!E379</f>
        <v>0.26504994500000001</v>
      </c>
      <c r="F1171">
        <f>Clothing!F379</f>
        <v>1</v>
      </c>
      <c r="G1171" t="str">
        <f>Clothing!G379</f>
        <v>https://eeb.org/library/draft-product-environmental-footprint-category-rules-pefcr-apparel-and-footwear/</v>
      </c>
      <c r="H1171">
        <f>Clothing!H379</f>
        <v>2</v>
      </c>
      <c r="I1171">
        <f>Clothing!I379</f>
        <v>0</v>
      </c>
      <c r="J1171">
        <f>Clothing!J379</f>
        <v>2</v>
      </c>
      <c r="K1171">
        <f>Clothing!K379</f>
        <v>1</v>
      </c>
      <c r="L1171">
        <f>Clothing!L379</f>
        <v>2</v>
      </c>
      <c r="M1171">
        <f>Clothing!M379</f>
        <v>3</v>
      </c>
      <c r="N1171">
        <f t="shared" si="89"/>
        <v>1.0301997916669636</v>
      </c>
      <c r="O1171">
        <f t="shared" si="90"/>
        <v>1.0242794655813865</v>
      </c>
    </row>
    <row r="1172" spans="1:15" customFormat="1" hidden="1">
      <c r="A1172" t="str">
        <f>Clothing!A380</f>
        <v>Clothing (product sector)</v>
      </c>
      <c r="B1172" t="str">
        <f>Clothing!B380</f>
        <v>Open-toed shoes</v>
      </c>
      <c r="C1172" t="str">
        <f>Clothing!C380</f>
        <v>NL</v>
      </c>
      <c r="D1172" t="str">
        <f>Clothing!D380</f>
        <v>PA</v>
      </c>
      <c r="E1172">
        <f>Clothing!E380</f>
        <v>0</v>
      </c>
      <c r="F1172">
        <f>Clothing!F380</f>
        <v>1</v>
      </c>
      <c r="G1172" t="str">
        <f>Clothing!G380</f>
        <v>https://eeb.org/library/draft-product-environmental-footprint-category-rules-pefcr-apparel-and-footwear/</v>
      </c>
      <c r="H1172">
        <f>Clothing!H380</f>
        <v>2</v>
      </c>
      <c r="I1172">
        <f>Clothing!I380</f>
        <v>0</v>
      </c>
      <c r="J1172">
        <f>Clothing!J380</f>
        <v>2</v>
      </c>
      <c r="K1172">
        <f>Clothing!K380</f>
        <v>1</v>
      </c>
      <c r="L1172">
        <f>Clothing!L380</f>
        <v>2</v>
      </c>
      <c r="M1172">
        <f>Clothing!M380</f>
        <v>3</v>
      </c>
      <c r="N1172">
        <f t="shared" si="89"/>
        <v>1.0301997916669636</v>
      </c>
      <c r="O1172">
        <f t="shared" si="90"/>
        <v>1.0242794655813865</v>
      </c>
    </row>
    <row r="1173" spans="1:15" customFormat="1" hidden="1">
      <c r="A1173" t="str">
        <f>Clothing!A381</f>
        <v>Clothing (product sector)</v>
      </c>
      <c r="B1173" t="str">
        <f>Clothing!B381</f>
        <v>Open-toed shoes</v>
      </c>
      <c r="C1173" t="str">
        <f>Clothing!C381</f>
        <v>NL</v>
      </c>
      <c r="D1173" t="str">
        <f>Clothing!D381</f>
        <v>PET</v>
      </c>
      <c r="E1173">
        <f>Clothing!E381</f>
        <v>4.9643730000000002E-3</v>
      </c>
      <c r="F1173">
        <f>Clothing!F381</f>
        <v>1</v>
      </c>
      <c r="G1173" t="str">
        <f>Clothing!G381</f>
        <v>https://eeb.org/library/draft-product-environmental-footprint-category-rules-pefcr-apparel-and-footwear/</v>
      </c>
      <c r="H1173">
        <f>Clothing!H381</f>
        <v>2</v>
      </c>
      <c r="I1173">
        <f>Clothing!I381</f>
        <v>0</v>
      </c>
      <c r="J1173">
        <f>Clothing!J381</f>
        <v>2</v>
      </c>
      <c r="K1173">
        <f>Clothing!K381</f>
        <v>1</v>
      </c>
      <c r="L1173">
        <f>Clothing!L381</f>
        <v>2</v>
      </c>
      <c r="M1173">
        <f>Clothing!M381</f>
        <v>3</v>
      </c>
      <c r="N1173">
        <f t="shared" si="89"/>
        <v>1.0301997916669636</v>
      </c>
      <c r="O1173">
        <f t="shared" si="90"/>
        <v>1.0242794655813865</v>
      </c>
    </row>
    <row r="1174" spans="1:15" customFormat="1" hidden="1">
      <c r="A1174" t="str">
        <f>Clothing!A382</f>
        <v>Clothing (product sector)</v>
      </c>
      <c r="B1174" t="str">
        <f>Clothing!B382</f>
        <v>Open-toed shoes</v>
      </c>
      <c r="C1174" t="str">
        <f>Clothing!C382</f>
        <v>NL</v>
      </c>
      <c r="D1174" t="str">
        <f>Clothing!D382</f>
        <v>PUR</v>
      </c>
      <c r="E1174">
        <f>Clothing!E382</f>
        <v>9.8031746000000003E-2</v>
      </c>
      <c r="F1174">
        <f>Clothing!F382</f>
        <v>1</v>
      </c>
      <c r="G1174" t="str">
        <f>Clothing!G382</f>
        <v>https://eeb.org/library/draft-product-environmental-footprint-category-rules-pefcr-apparel-and-footwear/</v>
      </c>
      <c r="H1174">
        <f>Clothing!H382</f>
        <v>2</v>
      </c>
      <c r="I1174">
        <f>Clothing!I382</f>
        <v>0</v>
      </c>
      <c r="J1174">
        <f>Clothing!J382</f>
        <v>2</v>
      </c>
      <c r="K1174">
        <f>Clothing!K382</f>
        <v>1</v>
      </c>
      <c r="L1174">
        <f>Clothing!L382</f>
        <v>2</v>
      </c>
      <c r="M1174">
        <f>Clothing!M382</f>
        <v>3</v>
      </c>
      <c r="N1174">
        <f t="shared" si="89"/>
        <v>1.0301997916669636</v>
      </c>
      <c r="O1174">
        <f t="shared" si="90"/>
        <v>1.0242794655813865</v>
      </c>
    </row>
    <row r="1175" spans="1:15" customFormat="1" hidden="1">
      <c r="A1175" t="str">
        <f>Clothing!A383</f>
        <v>Clothing (product sector)</v>
      </c>
      <c r="B1175" t="str">
        <f>Clothing!B383</f>
        <v>Open-toed shoes</v>
      </c>
      <c r="C1175" t="str">
        <f>Clothing!C383</f>
        <v>NL</v>
      </c>
      <c r="D1175" t="str">
        <f>Clothing!D383</f>
        <v>PVC</v>
      </c>
      <c r="E1175">
        <f>Clothing!E383</f>
        <v>0.116094456</v>
      </c>
      <c r="F1175">
        <f>Clothing!F383</f>
        <v>1</v>
      </c>
      <c r="G1175" t="str">
        <f>Clothing!G383</f>
        <v>https://eeb.org/library/draft-product-environmental-footprint-category-rules-pefcr-apparel-and-footwear/</v>
      </c>
      <c r="H1175">
        <f>Clothing!H383</f>
        <v>2</v>
      </c>
      <c r="I1175">
        <f>Clothing!I383</f>
        <v>0</v>
      </c>
      <c r="J1175">
        <f>Clothing!J383</f>
        <v>2</v>
      </c>
      <c r="K1175">
        <f>Clothing!K383</f>
        <v>1</v>
      </c>
      <c r="L1175">
        <f>Clothing!L383</f>
        <v>2</v>
      </c>
      <c r="M1175">
        <f>Clothing!M383</f>
        <v>3</v>
      </c>
      <c r="N1175">
        <f t="shared" si="89"/>
        <v>1.0301997916669636</v>
      </c>
      <c r="O1175">
        <f t="shared" si="90"/>
        <v>1.0242794655813865</v>
      </c>
    </row>
    <row r="1176" spans="1:15" customFormat="1" hidden="1">
      <c r="A1176" t="str">
        <f>Clothing!A384</f>
        <v>Clothing (product sector)</v>
      </c>
      <c r="B1176" t="str">
        <f>Clothing!B384</f>
        <v>Open-toed shoes</v>
      </c>
      <c r="C1176" t="str">
        <f>Clothing!C384</f>
        <v>NL</v>
      </c>
      <c r="D1176" t="str">
        <f>Clothing!D384</f>
        <v>RUBBER</v>
      </c>
      <c r="E1176">
        <f>Clothing!E384</f>
        <v>0.19750483799999999</v>
      </c>
      <c r="F1176">
        <f>Clothing!F384</f>
        <v>1</v>
      </c>
      <c r="G1176" t="str">
        <f>Clothing!G384</f>
        <v>https://eeb.org/library/draft-product-environmental-footprint-category-rules-pefcr-apparel-and-footwear/</v>
      </c>
      <c r="H1176">
        <f>Clothing!H384</f>
        <v>2</v>
      </c>
      <c r="I1176">
        <f>Clothing!I384</f>
        <v>0</v>
      </c>
      <c r="J1176">
        <f>Clothing!J384</f>
        <v>2</v>
      </c>
      <c r="K1176">
        <f>Clothing!K384</f>
        <v>1</v>
      </c>
      <c r="L1176">
        <f>Clothing!L384</f>
        <v>2</v>
      </c>
      <c r="M1176">
        <f>Clothing!M384</f>
        <v>3</v>
      </c>
      <c r="N1176">
        <f t="shared" si="89"/>
        <v>1.0301997916669636</v>
      </c>
      <c r="O1176">
        <f t="shared" si="90"/>
        <v>1.0242794655813865</v>
      </c>
    </row>
    <row r="1177" spans="1:15" customFormat="1" hidden="1">
      <c r="A1177" t="str">
        <f>Clothing!A385</f>
        <v>Clothing (product sector)</v>
      </c>
      <c r="B1177" t="str">
        <f>Clothing!B385</f>
        <v>Pants and shorts</v>
      </c>
      <c r="C1177" t="str">
        <f>Clothing!C385</f>
        <v>NL</v>
      </c>
      <c r="D1177" t="str">
        <f>Clothing!D385</f>
        <v>Acryl</v>
      </c>
      <c r="E1177">
        <f>Clothing!E385</f>
        <v>0</v>
      </c>
      <c r="F1177">
        <f>Clothing!F385</f>
        <v>1</v>
      </c>
      <c r="G1177" t="str">
        <f>Clothing!G385</f>
        <v>https://eeb.org/library/draft-product-environmental-footprint-category-rules-pefcr-apparel-and-footwear/</v>
      </c>
      <c r="H1177">
        <f>Clothing!H385</f>
        <v>2</v>
      </c>
      <c r="I1177">
        <f>Clothing!I385</f>
        <v>0</v>
      </c>
      <c r="J1177">
        <f>Clothing!J385</f>
        <v>2</v>
      </c>
      <c r="K1177">
        <f>Clothing!K385</f>
        <v>1</v>
      </c>
      <c r="L1177">
        <f>Clothing!L385</f>
        <v>2</v>
      </c>
      <c r="M1177">
        <f>Clothing!M385</f>
        <v>3</v>
      </c>
      <c r="N1177">
        <f t="shared" si="89"/>
        <v>1.0301997916669636</v>
      </c>
      <c r="O1177">
        <f t="shared" si="90"/>
        <v>1.0242794655813865</v>
      </c>
    </row>
    <row r="1178" spans="1:15" customFormat="1" hidden="1">
      <c r="A1178" t="str">
        <f>Clothing!A386</f>
        <v>Clothing (product sector)</v>
      </c>
      <c r="B1178" t="str">
        <f>Clothing!B386</f>
        <v>Pants and shorts</v>
      </c>
      <c r="C1178" t="str">
        <f>Clothing!C386</f>
        <v>NL</v>
      </c>
      <c r="D1178" t="str">
        <f>Clothing!D386</f>
        <v>OTHER</v>
      </c>
      <c r="E1178">
        <f>Clothing!E386</f>
        <v>0.233365723</v>
      </c>
      <c r="F1178">
        <f>Clothing!F386</f>
        <v>1</v>
      </c>
      <c r="G1178" t="str">
        <f>Clothing!G386</f>
        <v>https://eeb.org/library/draft-product-environmental-footprint-category-rules-pefcr-apparel-and-footwear/</v>
      </c>
      <c r="H1178">
        <f>Clothing!H386</f>
        <v>2</v>
      </c>
      <c r="I1178">
        <f>Clothing!I386</f>
        <v>0</v>
      </c>
      <c r="J1178">
        <f>Clothing!J386</f>
        <v>2</v>
      </c>
      <c r="K1178">
        <f>Clothing!K386</f>
        <v>1</v>
      </c>
      <c r="L1178">
        <f>Clothing!L386</f>
        <v>2</v>
      </c>
      <c r="M1178">
        <f>Clothing!M386</f>
        <v>3</v>
      </c>
      <c r="N1178">
        <f t="shared" si="89"/>
        <v>1.0301997916669636</v>
      </c>
      <c r="O1178">
        <f t="shared" si="90"/>
        <v>1.0242794655813865</v>
      </c>
    </row>
    <row r="1179" spans="1:15" customFormat="1" hidden="1">
      <c r="A1179" t="str">
        <f>Clothing!A387</f>
        <v>Clothing (product sector)</v>
      </c>
      <c r="B1179" t="str">
        <f>Clothing!B387</f>
        <v>Pants and shorts</v>
      </c>
      <c r="C1179" t="str">
        <f>Clothing!C387</f>
        <v>NL</v>
      </c>
      <c r="D1179" t="str">
        <f>Clothing!D387</f>
        <v>PA</v>
      </c>
      <c r="E1179">
        <f>Clothing!E387</f>
        <v>0.28597607800000002</v>
      </c>
      <c r="F1179">
        <f>Clothing!F387</f>
        <v>1</v>
      </c>
      <c r="G1179" t="str">
        <f>Clothing!G387</f>
        <v>https://eeb.org/library/draft-product-environmental-footprint-category-rules-pefcr-apparel-and-footwear/</v>
      </c>
      <c r="H1179">
        <f>Clothing!H387</f>
        <v>2</v>
      </c>
      <c r="I1179">
        <f>Clothing!I387</f>
        <v>0</v>
      </c>
      <c r="J1179">
        <f>Clothing!J387</f>
        <v>2</v>
      </c>
      <c r="K1179">
        <f>Clothing!K387</f>
        <v>1</v>
      </c>
      <c r="L1179">
        <f>Clothing!L387</f>
        <v>2</v>
      </c>
      <c r="M1179">
        <f>Clothing!M387</f>
        <v>3</v>
      </c>
      <c r="N1179">
        <f t="shared" si="89"/>
        <v>1.0301997916669636</v>
      </c>
      <c r="O1179">
        <f t="shared" si="90"/>
        <v>1.0242794655813865</v>
      </c>
    </row>
    <row r="1180" spans="1:15" customFormat="1" hidden="1">
      <c r="A1180" t="str">
        <f>Clothing!A388</f>
        <v>Clothing (product sector)</v>
      </c>
      <c r="B1180" t="str">
        <f>Clothing!B388</f>
        <v>Pants and shorts</v>
      </c>
      <c r="C1180" t="str">
        <f>Clothing!C388</f>
        <v>NL</v>
      </c>
      <c r="D1180" t="str">
        <f>Clothing!D388</f>
        <v>PET</v>
      </c>
      <c r="E1180">
        <f>Clothing!E388</f>
        <v>0.29155097099999999</v>
      </c>
      <c r="F1180">
        <f>Clothing!F388</f>
        <v>1</v>
      </c>
      <c r="G1180" t="str">
        <f>Clothing!G388</f>
        <v>https://eeb.org/library/draft-product-environmental-footprint-category-rules-pefcr-apparel-and-footwear/</v>
      </c>
      <c r="H1180">
        <f>Clothing!H388</f>
        <v>2</v>
      </c>
      <c r="I1180">
        <f>Clothing!I388</f>
        <v>0</v>
      </c>
      <c r="J1180">
        <f>Clothing!J388</f>
        <v>2</v>
      </c>
      <c r="K1180">
        <f>Clothing!K388</f>
        <v>1</v>
      </c>
      <c r="L1180">
        <f>Clothing!L388</f>
        <v>2</v>
      </c>
      <c r="M1180">
        <f>Clothing!M388</f>
        <v>3</v>
      </c>
      <c r="N1180">
        <f t="shared" si="89"/>
        <v>1.0301997916669636</v>
      </c>
      <c r="O1180">
        <f t="shared" si="90"/>
        <v>1.0242794655813865</v>
      </c>
    </row>
    <row r="1181" spans="1:15" customFormat="1" hidden="1">
      <c r="A1181" t="str">
        <f>Clothing!A389</f>
        <v>Clothing (product sector)</v>
      </c>
      <c r="B1181" t="str">
        <f>Clothing!B389</f>
        <v>Shirts and blouses</v>
      </c>
      <c r="C1181" t="str">
        <f>Clothing!C389</f>
        <v>NL</v>
      </c>
      <c r="D1181" t="str">
        <f>Clothing!D389</f>
        <v>Acryl</v>
      </c>
      <c r="E1181">
        <f>Clothing!E389</f>
        <v>0</v>
      </c>
      <c r="F1181">
        <f>Clothing!F389</f>
        <v>1</v>
      </c>
      <c r="G1181" t="str">
        <f>Clothing!G389</f>
        <v>https://eeb.org/library/draft-product-environmental-footprint-category-rules-pefcr-apparel-and-footwear/</v>
      </c>
      <c r="H1181">
        <f>Clothing!H389</f>
        <v>2</v>
      </c>
      <c r="I1181">
        <f>Clothing!I389</f>
        <v>0</v>
      </c>
      <c r="J1181">
        <f>Clothing!J389</f>
        <v>2</v>
      </c>
      <c r="K1181">
        <f>Clothing!K389</f>
        <v>1</v>
      </c>
      <c r="L1181">
        <f>Clothing!L389</f>
        <v>2</v>
      </c>
      <c r="M1181">
        <f>Clothing!M389</f>
        <v>3</v>
      </c>
      <c r="N1181">
        <f t="shared" si="89"/>
        <v>1.0301997916669636</v>
      </c>
      <c r="O1181">
        <f t="shared" si="90"/>
        <v>1.0242794655813865</v>
      </c>
    </row>
    <row r="1182" spans="1:15" customFormat="1" hidden="1">
      <c r="A1182" t="str">
        <f>Clothing!A390</f>
        <v>Clothing (product sector)</v>
      </c>
      <c r="B1182" t="str">
        <f>Clothing!B390</f>
        <v>Shirts and blouses</v>
      </c>
      <c r="C1182" t="str">
        <f>Clothing!C390</f>
        <v>NL</v>
      </c>
      <c r="D1182" t="str">
        <f>Clothing!D390</f>
        <v>OTHER</v>
      </c>
      <c r="E1182">
        <f>Clothing!E390</f>
        <v>2.2136009999999999E-3</v>
      </c>
      <c r="F1182">
        <f>Clothing!F390</f>
        <v>1</v>
      </c>
      <c r="G1182" t="str">
        <f>Clothing!G390</f>
        <v>https://eeb.org/library/draft-product-environmental-footprint-category-rules-pefcr-apparel-and-footwear/</v>
      </c>
      <c r="H1182">
        <f>Clothing!H390</f>
        <v>2</v>
      </c>
      <c r="I1182">
        <f>Clothing!I390</f>
        <v>0</v>
      </c>
      <c r="J1182">
        <f>Clothing!J390</f>
        <v>2</v>
      </c>
      <c r="K1182">
        <f>Clothing!K390</f>
        <v>1</v>
      </c>
      <c r="L1182">
        <f>Clothing!L390</f>
        <v>2</v>
      </c>
      <c r="M1182">
        <f>Clothing!M390</f>
        <v>3</v>
      </c>
      <c r="N1182">
        <f t="shared" si="89"/>
        <v>1.0301997916669636</v>
      </c>
      <c r="O1182">
        <f t="shared" si="90"/>
        <v>1.0242794655813865</v>
      </c>
    </row>
    <row r="1183" spans="1:15" customFormat="1" hidden="1">
      <c r="A1183" t="str">
        <f>Clothing!A391</f>
        <v>Clothing (product sector)</v>
      </c>
      <c r="B1183" t="str">
        <f>Clothing!B391</f>
        <v>Shirts and blouses</v>
      </c>
      <c r="C1183" t="str">
        <f>Clothing!C391</f>
        <v>NL</v>
      </c>
      <c r="D1183" t="str">
        <f>Clothing!D391</f>
        <v>PA</v>
      </c>
      <c r="E1183">
        <f>Clothing!E391</f>
        <v>0</v>
      </c>
      <c r="F1183">
        <f>Clothing!F391</f>
        <v>1</v>
      </c>
      <c r="G1183" t="str">
        <f>Clothing!G391</f>
        <v>https://eeb.org/library/draft-product-environmental-footprint-category-rules-pefcr-apparel-and-footwear/</v>
      </c>
      <c r="H1183">
        <f>Clothing!H391</f>
        <v>2</v>
      </c>
      <c r="I1183">
        <f>Clothing!I391</f>
        <v>0</v>
      </c>
      <c r="J1183">
        <f>Clothing!J391</f>
        <v>2</v>
      </c>
      <c r="K1183">
        <f>Clothing!K391</f>
        <v>1</v>
      </c>
      <c r="L1183">
        <f>Clothing!L391</f>
        <v>2</v>
      </c>
      <c r="M1183">
        <f>Clothing!M391</f>
        <v>3</v>
      </c>
      <c r="N1183">
        <f t="shared" si="89"/>
        <v>1.0301997916669636</v>
      </c>
      <c r="O1183">
        <f t="shared" si="90"/>
        <v>1.0242794655813865</v>
      </c>
    </row>
    <row r="1184" spans="1:15" customFormat="1" hidden="1">
      <c r="A1184" t="str">
        <f>Clothing!A392</f>
        <v>Clothing (product sector)</v>
      </c>
      <c r="B1184" t="str">
        <f>Clothing!B392</f>
        <v>Shirts and blouses</v>
      </c>
      <c r="C1184" t="str">
        <f>Clothing!C392</f>
        <v>NL</v>
      </c>
      <c r="D1184" t="str">
        <f>Clothing!D392</f>
        <v>PET</v>
      </c>
      <c r="E1184">
        <f>Clothing!E392</f>
        <v>3.4977240999999999E-2</v>
      </c>
      <c r="F1184">
        <f>Clothing!F392</f>
        <v>1</v>
      </c>
      <c r="G1184" t="str">
        <f>Clothing!G392</f>
        <v>https://eeb.org/library/draft-product-environmental-footprint-category-rules-pefcr-apparel-and-footwear/</v>
      </c>
      <c r="H1184">
        <f>Clothing!H392</f>
        <v>2</v>
      </c>
      <c r="I1184">
        <f>Clothing!I392</f>
        <v>0</v>
      </c>
      <c r="J1184">
        <f>Clothing!J392</f>
        <v>2</v>
      </c>
      <c r="K1184">
        <f>Clothing!K392</f>
        <v>1</v>
      </c>
      <c r="L1184">
        <f>Clothing!L392</f>
        <v>2</v>
      </c>
      <c r="M1184">
        <f>Clothing!M392</f>
        <v>3</v>
      </c>
      <c r="N1184">
        <f t="shared" si="89"/>
        <v>1.0301997916669636</v>
      </c>
      <c r="O1184">
        <f t="shared" si="90"/>
        <v>1.0242794655813865</v>
      </c>
    </row>
    <row r="1185" spans="1:15" customFormat="1" hidden="1">
      <c r="A1185" t="str">
        <f>Clothing!A393</f>
        <v>Clothing (product sector)</v>
      </c>
      <c r="B1185" t="str">
        <f>Clothing!B393</f>
        <v>Sweaters and midlayers</v>
      </c>
      <c r="C1185" t="str">
        <f>Clothing!C393</f>
        <v>NL</v>
      </c>
      <c r="D1185" t="str">
        <f>Clothing!D393</f>
        <v>Acryl</v>
      </c>
      <c r="E1185">
        <f>Clothing!E393</f>
        <v>0.27112317699999999</v>
      </c>
      <c r="F1185">
        <f>Clothing!F393</f>
        <v>1</v>
      </c>
      <c r="G1185" t="str">
        <f>Clothing!G393</f>
        <v>https://eeb.org/library/draft-product-environmental-footprint-category-rules-pefcr-apparel-and-footwear/</v>
      </c>
      <c r="H1185">
        <f>Clothing!H393</f>
        <v>2</v>
      </c>
      <c r="I1185">
        <f>Clothing!I393</f>
        <v>0</v>
      </c>
      <c r="J1185">
        <f>Clothing!J393</f>
        <v>2</v>
      </c>
      <c r="K1185">
        <f>Clothing!K393</f>
        <v>1</v>
      </c>
      <c r="L1185">
        <f>Clothing!L393</f>
        <v>2</v>
      </c>
      <c r="M1185">
        <f>Clothing!M393</f>
        <v>3</v>
      </c>
      <c r="N1185">
        <f t="shared" si="89"/>
        <v>1.0301997916669636</v>
      </c>
      <c r="O1185">
        <f t="shared" si="90"/>
        <v>1.0242794655813865</v>
      </c>
    </row>
    <row r="1186" spans="1:15" customFormat="1" hidden="1">
      <c r="A1186" t="str">
        <f>Clothing!A394</f>
        <v>Clothing (product sector)</v>
      </c>
      <c r="B1186" t="str">
        <f>Clothing!B394</f>
        <v>Sweaters and midlayers</v>
      </c>
      <c r="C1186" t="str">
        <f>Clothing!C394</f>
        <v>NL</v>
      </c>
      <c r="D1186" t="str">
        <f>Clothing!D394</f>
        <v>OTHER</v>
      </c>
      <c r="E1186">
        <f>Clothing!E394</f>
        <v>3.0437175E-2</v>
      </c>
      <c r="F1186">
        <f>Clothing!F394</f>
        <v>1</v>
      </c>
      <c r="G1186" t="str">
        <f>Clothing!G394</f>
        <v>https://eeb.org/library/draft-product-environmental-footprint-category-rules-pefcr-apparel-and-footwear/</v>
      </c>
      <c r="H1186">
        <f>Clothing!H394</f>
        <v>2</v>
      </c>
      <c r="I1186">
        <f>Clothing!I394</f>
        <v>0</v>
      </c>
      <c r="J1186">
        <f>Clothing!J394</f>
        <v>2</v>
      </c>
      <c r="K1186">
        <f>Clothing!K394</f>
        <v>1</v>
      </c>
      <c r="L1186">
        <f>Clothing!L394</f>
        <v>2</v>
      </c>
      <c r="M1186">
        <f>Clothing!M394</f>
        <v>3</v>
      </c>
      <c r="N1186">
        <f t="shared" si="89"/>
        <v>1.0301997916669636</v>
      </c>
      <c r="O1186">
        <f t="shared" si="90"/>
        <v>1.0242794655813865</v>
      </c>
    </row>
    <row r="1187" spans="1:15" customFormat="1" hidden="1">
      <c r="A1187" t="str">
        <f>Clothing!A395</f>
        <v>Clothing (product sector)</v>
      </c>
      <c r="B1187" t="str">
        <f>Clothing!B395</f>
        <v>Sweaters and midlayers</v>
      </c>
      <c r="C1187" t="str">
        <f>Clothing!C395</f>
        <v>NL</v>
      </c>
      <c r="D1187" t="str">
        <f>Clothing!D395</f>
        <v>PA</v>
      </c>
      <c r="E1187">
        <f>Clothing!E395</f>
        <v>4.6534921E-2</v>
      </c>
      <c r="F1187">
        <f>Clothing!F395</f>
        <v>1</v>
      </c>
      <c r="G1187" t="str">
        <f>Clothing!G395</f>
        <v>https://eeb.org/library/draft-product-environmental-footprint-category-rules-pefcr-apparel-and-footwear/</v>
      </c>
      <c r="H1187">
        <f>Clothing!H395</f>
        <v>2</v>
      </c>
      <c r="I1187">
        <f>Clothing!I395</f>
        <v>0</v>
      </c>
      <c r="J1187">
        <f>Clothing!J395</f>
        <v>2</v>
      </c>
      <c r="K1187">
        <f>Clothing!K395</f>
        <v>1</v>
      </c>
      <c r="L1187">
        <f>Clothing!L395</f>
        <v>2</v>
      </c>
      <c r="M1187">
        <f>Clothing!M395</f>
        <v>3</v>
      </c>
      <c r="N1187">
        <f t="shared" si="89"/>
        <v>1.0301997916669636</v>
      </c>
      <c r="O1187">
        <f t="shared" si="90"/>
        <v>1.0242794655813865</v>
      </c>
    </row>
    <row r="1188" spans="1:15" customFormat="1" hidden="1">
      <c r="A1188" t="str">
        <f>Clothing!A396</f>
        <v>Clothing (product sector)</v>
      </c>
      <c r="B1188" t="str">
        <f>Clothing!B396</f>
        <v>Sweaters and midlayers</v>
      </c>
      <c r="C1188" t="str">
        <f>Clothing!C396</f>
        <v>NL</v>
      </c>
      <c r="D1188" t="str">
        <f>Clothing!D396</f>
        <v>PET</v>
      </c>
      <c r="E1188">
        <f>Clothing!E396</f>
        <v>0.129381212</v>
      </c>
      <c r="F1188">
        <f>Clothing!F396</f>
        <v>1</v>
      </c>
      <c r="G1188" t="str">
        <f>Clothing!G396</f>
        <v>https://eeb.org/library/draft-product-environmental-footprint-category-rules-pefcr-apparel-and-footwear/</v>
      </c>
      <c r="H1188">
        <f>Clothing!H396</f>
        <v>2</v>
      </c>
      <c r="I1188">
        <f>Clothing!I396</f>
        <v>0</v>
      </c>
      <c r="J1188">
        <f>Clothing!J396</f>
        <v>2</v>
      </c>
      <c r="K1188">
        <f>Clothing!K396</f>
        <v>1</v>
      </c>
      <c r="L1188">
        <f>Clothing!L396</f>
        <v>2</v>
      </c>
      <c r="M1188">
        <f>Clothing!M396</f>
        <v>3</v>
      </c>
      <c r="N1188">
        <f t="shared" si="89"/>
        <v>1.0301997916669636</v>
      </c>
      <c r="O1188">
        <f t="shared" si="90"/>
        <v>1.0242794655813865</v>
      </c>
    </row>
    <row r="1189" spans="1:15" customFormat="1" hidden="1">
      <c r="A1189" t="str">
        <f>Clothing!A397</f>
        <v>Clothing (product sector)</v>
      </c>
      <c r="B1189" t="str">
        <f>Clothing!B397</f>
        <v>Swimwear</v>
      </c>
      <c r="C1189" t="str">
        <f>Clothing!C397</f>
        <v>NL</v>
      </c>
      <c r="D1189" t="str">
        <f>Clothing!D397</f>
        <v>Acryl</v>
      </c>
      <c r="E1189">
        <f>Clothing!E397</f>
        <v>0</v>
      </c>
      <c r="F1189">
        <f>Clothing!F397</f>
        <v>1</v>
      </c>
      <c r="G1189" t="str">
        <f>Clothing!G397</f>
        <v>https://eeb.org/library/draft-product-environmental-footprint-category-rules-pefcr-apparel-and-footwear/</v>
      </c>
      <c r="H1189">
        <f>Clothing!H397</f>
        <v>2</v>
      </c>
      <c r="I1189">
        <f>Clothing!I397</f>
        <v>0</v>
      </c>
      <c r="J1189">
        <f>Clothing!J397</f>
        <v>2</v>
      </c>
      <c r="K1189">
        <f>Clothing!K397</f>
        <v>1</v>
      </c>
      <c r="L1189">
        <f>Clothing!L397</f>
        <v>2</v>
      </c>
      <c r="M1189">
        <f>Clothing!M397</f>
        <v>3</v>
      </c>
      <c r="N1189">
        <f t="shared" si="89"/>
        <v>1.0301997916669636</v>
      </c>
      <c r="O1189">
        <f t="shared" si="90"/>
        <v>1.0242794655813865</v>
      </c>
    </row>
    <row r="1190" spans="1:15" customFormat="1" hidden="1">
      <c r="A1190" t="str">
        <f>Clothing!A398</f>
        <v>Clothing (product sector)</v>
      </c>
      <c r="B1190" t="str">
        <f>Clothing!B398</f>
        <v>Swimwear</v>
      </c>
      <c r="C1190" t="str">
        <f>Clothing!C398</f>
        <v>NL</v>
      </c>
      <c r="D1190" t="str">
        <f>Clothing!D398</f>
        <v>OTHER</v>
      </c>
      <c r="E1190">
        <f>Clothing!E398</f>
        <v>9.6564359999999991E-3</v>
      </c>
      <c r="F1190">
        <f>Clothing!F398</f>
        <v>1</v>
      </c>
      <c r="G1190" t="str">
        <f>Clothing!G398</f>
        <v>https://eeb.org/library/draft-product-environmental-footprint-category-rules-pefcr-apparel-and-footwear/</v>
      </c>
      <c r="H1190">
        <f>Clothing!H398</f>
        <v>2</v>
      </c>
      <c r="I1190">
        <f>Clothing!I398</f>
        <v>0</v>
      </c>
      <c r="J1190">
        <f>Clothing!J398</f>
        <v>2</v>
      </c>
      <c r="K1190">
        <f>Clothing!K398</f>
        <v>1</v>
      </c>
      <c r="L1190">
        <f>Clothing!L398</f>
        <v>2</v>
      </c>
      <c r="M1190">
        <f>Clothing!M398</f>
        <v>3</v>
      </c>
      <c r="N1190">
        <f t="shared" si="89"/>
        <v>1.0301997916669636</v>
      </c>
      <c r="O1190">
        <f t="shared" si="90"/>
        <v>1.0242794655813865</v>
      </c>
    </row>
    <row r="1191" spans="1:15" customFormat="1" hidden="1">
      <c r="A1191" t="str">
        <f>Clothing!A399</f>
        <v>Clothing (product sector)</v>
      </c>
      <c r="B1191" t="str">
        <f>Clothing!B399</f>
        <v>Swimwear</v>
      </c>
      <c r="C1191" t="str">
        <f>Clothing!C399</f>
        <v>NL</v>
      </c>
      <c r="D1191" t="str">
        <f>Clothing!D399</f>
        <v>PA</v>
      </c>
      <c r="E1191">
        <f>Clothing!E399</f>
        <v>4.1219467000000003E-2</v>
      </c>
      <c r="F1191">
        <f>Clothing!F399</f>
        <v>1</v>
      </c>
      <c r="G1191" t="str">
        <f>Clothing!G399</f>
        <v>https://eeb.org/library/draft-product-environmental-footprint-category-rules-pefcr-apparel-and-footwear/</v>
      </c>
      <c r="H1191">
        <f>Clothing!H399</f>
        <v>2</v>
      </c>
      <c r="I1191">
        <f>Clothing!I399</f>
        <v>0</v>
      </c>
      <c r="J1191">
        <f>Clothing!J399</f>
        <v>2</v>
      </c>
      <c r="K1191">
        <f>Clothing!K399</f>
        <v>1</v>
      </c>
      <c r="L1191">
        <f>Clothing!L399</f>
        <v>2</v>
      </c>
      <c r="M1191">
        <f>Clothing!M399</f>
        <v>3</v>
      </c>
      <c r="N1191">
        <f t="shared" si="89"/>
        <v>1.0301997916669636</v>
      </c>
      <c r="O1191">
        <f t="shared" si="90"/>
        <v>1.0242794655813865</v>
      </c>
    </row>
    <row r="1192" spans="1:15" customFormat="1" hidden="1">
      <c r="A1192" t="str">
        <f>Clothing!A400</f>
        <v>Clothing (product sector)</v>
      </c>
      <c r="B1192" t="str">
        <f>Clothing!B400</f>
        <v>Swimwear</v>
      </c>
      <c r="C1192" t="str">
        <f>Clothing!C400</f>
        <v>NL</v>
      </c>
      <c r="D1192" t="str">
        <f>Clothing!D400</f>
        <v>PET</v>
      </c>
      <c r="E1192">
        <f>Clothing!E400</f>
        <v>6.6880289999999998E-3</v>
      </c>
      <c r="F1192">
        <f>Clothing!F400</f>
        <v>1</v>
      </c>
      <c r="G1192" t="str">
        <f>Clothing!G400</f>
        <v>https://eeb.org/library/draft-product-environmental-footprint-category-rules-pefcr-apparel-and-footwear/</v>
      </c>
      <c r="H1192">
        <f>Clothing!H400</f>
        <v>2</v>
      </c>
      <c r="I1192">
        <f>Clothing!I400</f>
        <v>0</v>
      </c>
      <c r="J1192">
        <f>Clothing!J400</f>
        <v>2</v>
      </c>
      <c r="K1192">
        <f>Clothing!K400</f>
        <v>1</v>
      </c>
      <c r="L1192">
        <f>Clothing!L400</f>
        <v>2</v>
      </c>
      <c r="M1192">
        <f>Clothing!M400</f>
        <v>3</v>
      </c>
      <c r="N1192">
        <f t="shared" si="89"/>
        <v>1.0301997916669636</v>
      </c>
      <c r="O1192">
        <f t="shared" si="90"/>
        <v>1.0242794655813865</v>
      </c>
    </row>
    <row r="1193" spans="1:15" customFormat="1" hidden="1">
      <c r="A1193" t="str">
        <f>Clothing!A401</f>
        <v>Clothing (product sector)</v>
      </c>
      <c r="B1193" t="str">
        <f>Clothing!B401</f>
        <v>T-shirts</v>
      </c>
      <c r="C1193" t="str">
        <f>Clothing!C401</f>
        <v>NL</v>
      </c>
      <c r="D1193" t="str">
        <f>Clothing!D401</f>
        <v>Acryl</v>
      </c>
      <c r="E1193">
        <f>Clothing!E401</f>
        <v>0</v>
      </c>
      <c r="F1193">
        <f>Clothing!F401</f>
        <v>1</v>
      </c>
      <c r="G1193" t="str">
        <f>Clothing!G401</f>
        <v>https://eeb.org/library/draft-product-environmental-footprint-category-rules-pefcr-apparel-and-footwear/</v>
      </c>
      <c r="H1193">
        <f>Clothing!H401</f>
        <v>2</v>
      </c>
      <c r="I1193">
        <f>Clothing!I401</f>
        <v>0</v>
      </c>
      <c r="J1193">
        <f>Clothing!J401</f>
        <v>2</v>
      </c>
      <c r="K1193">
        <f>Clothing!K401</f>
        <v>1</v>
      </c>
      <c r="L1193">
        <f>Clothing!L401</f>
        <v>2</v>
      </c>
      <c r="M1193">
        <f>Clothing!M401</f>
        <v>3</v>
      </c>
      <c r="N1193">
        <f t="shared" si="89"/>
        <v>1.0301997916669636</v>
      </c>
      <c r="O1193">
        <f t="shared" si="90"/>
        <v>1.0242794655813865</v>
      </c>
    </row>
    <row r="1194" spans="1:15" customFormat="1" hidden="1">
      <c r="A1194" t="str">
        <f>Clothing!A402</f>
        <v>Clothing (product sector)</v>
      </c>
      <c r="B1194" t="str">
        <f>Clothing!B402</f>
        <v>T-shirts</v>
      </c>
      <c r="C1194" t="str">
        <f>Clothing!C402</f>
        <v>NL</v>
      </c>
      <c r="D1194" t="str">
        <f>Clothing!D402</f>
        <v>OTHER</v>
      </c>
      <c r="E1194">
        <f>Clothing!E402</f>
        <v>4.4756049999999997E-3</v>
      </c>
      <c r="F1194">
        <f>Clothing!F402</f>
        <v>1</v>
      </c>
      <c r="G1194" t="str">
        <f>Clothing!G402</f>
        <v>https://eeb.org/library/draft-product-environmental-footprint-category-rules-pefcr-apparel-and-footwear/</v>
      </c>
      <c r="H1194">
        <f>Clothing!H402</f>
        <v>2</v>
      </c>
      <c r="I1194">
        <f>Clothing!I402</f>
        <v>0</v>
      </c>
      <c r="J1194">
        <f>Clothing!J402</f>
        <v>2</v>
      </c>
      <c r="K1194">
        <f>Clothing!K402</f>
        <v>1</v>
      </c>
      <c r="L1194">
        <f>Clothing!L402</f>
        <v>2</v>
      </c>
      <c r="M1194">
        <f>Clothing!M402</f>
        <v>3</v>
      </c>
      <c r="N1194">
        <f t="shared" si="89"/>
        <v>1.0301997916669636</v>
      </c>
      <c r="O1194">
        <f t="shared" si="90"/>
        <v>1.0242794655813865</v>
      </c>
    </row>
    <row r="1195" spans="1:15" customFormat="1" hidden="1">
      <c r="A1195" t="str">
        <f>Clothing!A403</f>
        <v>Clothing (product sector)</v>
      </c>
      <c r="B1195" t="str">
        <f>Clothing!B403</f>
        <v>T-shirts</v>
      </c>
      <c r="C1195" t="str">
        <f>Clothing!C403</f>
        <v>NL</v>
      </c>
      <c r="D1195" t="str">
        <f>Clothing!D403</f>
        <v>PA</v>
      </c>
      <c r="E1195">
        <f>Clothing!E403</f>
        <v>0</v>
      </c>
      <c r="F1195">
        <f>Clothing!F403</f>
        <v>1</v>
      </c>
      <c r="G1195" t="str">
        <f>Clothing!G403</f>
        <v>https://eeb.org/library/draft-product-environmental-footprint-category-rules-pefcr-apparel-and-footwear/</v>
      </c>
      <c r="H1195">
        <f>Clothing!H403</f>
        <v>2</v>
      </c>
      <c r="I1195">
        <f>Clothing!I403</f>
        <v>0</v>
      </c>
      <c r="J1195">
        <f>Clothing!J403</f>
        <v>2</v>
      </c>
      <c r="K1195">
        <f>Clothing!K403</f>
        <v>1</v>
      </c>
      <c r="L1195">
        <f>Clothing!L403</f>
        <v>2</v>
      </c>
      <c r="M1195">
        <f>Clothing!M403</f>
        <v>3</v>
      </c>
      <c r="N1195">
        <f t="shared" ref="N1195:N1258" si="91">IF( OR( ISBLANK(H1195),ISBLANK(J1195), ISBLANK(K1195), ISBLANK(L1195), ISBLANK(M1195) ), "", 1.5*SQRT(   EXP(2.21*(H1195-1)) + EXP(2.21*(J1195-1)) + EXP(2.21*(K1195-1)) + EXP(2.21*(L1195-1)) + EXP(2.21*M1195)   )/100*2.45 )</f>
        <v>1.0301997916669636</v>
      </c>
      <c r="O1195">
        <f t="shared" ref="O1195:O1258" si="92">IF( OR( ISBLANK(I1195),ISBLANK(J1195), ISBLANK(K1195), ISBLANK(L1195), ISBLANK(M1195) ), "", 1.5*SQRT( EXP(2.21*(I1195-1)) + EXP(2.21*(J1195-1)) + EXP(2.21*(K1195-1)) + EXP(2.21*(L1195-1)) + EXP(2.21*M1195)   )/100*2.45 )</f>
        <v>1.0242794655813865</v>
      </c>
    </row>
    <row r="1196" spans="1:15" customFormat="1" hidden="1">
      <c r="A1196" t="str">
        <f>Clothing!A404</f>
        <v>Clothing (product sector)</v>
      </c>
      <c r="B1196" t="str">
        <f>Clothing!B404</f>
        <v>T-shirts</v>
      </c>
      <c r="C1196" t="str">
        <f>Clothing!C404</f>
        <v>NL</v>
      </c>
      <c r="D1196" t="str">
        <f>Clothing!D404</f>
        <v>PET</v>
      </c>
      <c r="E1196">
        <f>Clothing!E404</f>
        <v>7.1864432000000006E-2</v>
      </c>
      <c r="F1196">
        <f>Clothing!F404</f>
        <v>1</v>
      </c>
      <c r="G1196" t="str">
        <f>Clothing!G404</f>
        <v>https://eeb.org/library/draft-product-environmental-footprint-category-rules-pefcr-apparel-and-footwear/</v>
      </c>
      <c r="H1196">
        <f>Clothing!H404</f>
        <v>2</v>
      </c>
      <c r="I1196">
        <f>Clothing!I404</f>
        <v>0</v>
      </c>
      <c r="J1196">
        <f>Clothing!J404</f>
        <v>2</v>
      </c>
      <c r="K1196">
        <f>Clothing!K404</f>
        <v>1</v>
      </c>
      <c r="L1196">
        <f>Clothing!L404</f>
        <v>2</v>
      </c>
      <c r="M1196">
        <f>Clothing!M404</f>
        <v>3</v>
      </c>
      <c r="N1196">
        <f t="shared" si="91"/>
        <v>1.0301997916669636</v>
      </c>
      <c r="O1196">
        <f t="shared" si="92"/>
        <v>1.0242794655813865</v>
      </c>
    </row>
    <row r="1197" spans="1:15" customFormat="1" hidden="1">
      <c r="A1197" t="str">
        <f>Clothing!A405</f>
        <v>Clothing (product sector)</v>
      </c>
      <c r="B1197" t="str">
        <f>Clothing!B405</f>
        <v>Underwear</v>
      </c>
      <c r="C1197" t="str">
        <f>Clothing!C405</f>
        <v>NL</v>
      </c>
      <c r="D1197" t="str">
        <f>Clothing!D405</f>
        <v>Acryl</v>
      </c>
      <c r="E1197">
        <f>Clothing!E405</f>
        <v>0</v>
      </c>
      <c r="F1197">
        <f>Clothing!F405</f>
        <v>1</v>
      </c>
      <c r="G1197" t="str">
        <f>Clothing!G405</f>
        <v>https://eeb.org/library/draft-product-environmental-footprint-category-rules-pefcr-apparel-and-footwear/</v>
      </c>
      <c r="H1197">
        <f>Clothing!H405</f>
        <v>2</v>
      </c>
      <c r="I1197">
        <f>Clothing!I405</f>
        <v>0</v>
      </c>
      <c r="J1197">
        <f>Clothing!J405</f>
        <v>2</v>
      </c>
      <c r="K1197">
        <f>Clothing!K405</f>
        <v>1</v>
      </c>
      <c r="L1197">
        <f>Clothing!L405</f>
        <v>2</v>
      </c>
      <c r="M1197">
        <f>Clothing!M405</f>
        <v>3</v>
      </c>
      <c r="N1197">
        <f t="shared" si="91"/>
        <v>1.0301997916669636</v>
      </c>
      <c r="O1197">
        <f t="shared" si="92"/>
        <v>1.0242794655813865</v>
      </c>
    </row>
    <row r="1198" spans="1:15" customFormat="1" hidden="1">
      <c r="A1198" t="str">
        <f>Clothing!A406</f>
        <v>Clothing (product sector)</v>
      </c>
      <c r="B1198" t="str">
        <f>Clothing!B406</f>
        <v>Underwear</v>
      </c>
      <c r="C1198" t="str">
        <f>Clothing!C406</f>
        <v>NL</v>
      </c>
      <c r="D1198" t="str">
        <f>Clothing!D406</f>
        <v>OTHER</v>
      </c>
      <c r="E1198">
        <f>Clothing!E406</f>
        <v>0.102719435</v>
      </c>
      <c r="F1198">
        <f>Clothing!F406</f>
        <v>1</v>
      </c>
      <c r="G1198" t="str">
        <f>Clothing!G406</f>
        <v>https://eeb.org/library/draft-product-environmental-footprint-category-rules-pefcr-apparel-and-footwear/</v>
      </c>
      <c r="H1198">
        <f>Clothing!H406</f>
        <v>2</v>
      </c>
      <c r="I1198">
        <f>Clothing!I406</f>
        <v>0</v>
      </c>
      <c r="J1198">
        <f>Clothing!J406</f>
        <v>2</v>
      </c>
      <c r="K1198">
        <f>Clothing!K406</f>
        <v>1</v>
      </c>
      <c r="L1198">
        <f>Clothing!L406</f>
        <v>2</v>
      </c>
      <c r="M1198">
        <f>Clothing!M406</f>
        <v>3</v>
      </c>
      <c r="N1198">
        <f t="shared" si="91"/>
        <v>1.0301997916669636</v>
      </c>
      <c r="O1198">
        <f t="shared" si="92"/>
        <v>1.0242794655813865</v>
      </c>
    </row>
    <row r="1199" spans="1:15" customFormat="1" hidden="1">
      <c r="A1199" t="str">
        <f>Clothing!A407</f>
        <v>Clothing (product sector)</v>
      </c>
      <c r="B1199" t="str">
        <f>Clothing!B407</f>
        <v>Underwear</v>
      </c>
      <c r="C1199" t="str">
        <f>Clothing!C407</f>
        <v>NL</v>
      </c>
      <c r="D1199" t="str">
        <f>Clothing!D407</f>
        <v>PA</v>
      </c>
      <c r="E1199">
        <f>Clothing!E407</f>
        <v>0.132094882</v>
      </c>
      <c r="F1199">
        <f>Clothing!F407</f>
        <v>1</v>
      </c>
      <c r="G1199" t="str">
        <f>Clothing!G407</f>
        <v>https://eeb.org/library/draft-product-environmental-footprint-category-rules-pefcr-apparel-and-footwear/</v>
      </c>
      <c r="H1199">
        <f>Clothing!H407</f>
        <v>2</v>
      </c>
      <c r="I1199">
        <f>Clothing!I407</f>
        <v>0</v>
      </c>
      <c r="J1199">
        <f>Clothing!J407</f>
        <v>2</v>
      </c>
      <c r="K1199">
        <f>Clothing!K407</f>
        <v>1</v>
      </c>
      <c r="L1199">
        <f>Clothing!L407</f>
        <v>2</v>
      </c>
      <c r="M1199">
        <f>Clothing!M407</f>
        <v>3</v>
      </c>
      <c r="N1199">
        <f t="shared" si="91"/>
        <v>1.0301997916669636</v>
      </c>
      <c r="O1199">
        <f t="shared" si="92"/>
        <v>1.0242794655813865</v>
      </c>
    </row>
    <row r="1200" spans="1:15" customFormat="1" hidden="1">
      <c r="A1200" t="str">
        <f>Clothing!A408</f>
        <v>Clothing (product sector)</v>
      </c>
      <c r="B1200" t="str">
        <f>Clothing!B408</f>
        <v>Underwear</v>
      </c>
      <c r="C1200" t="str">
        <f>Clothing!C408</f>
        <v>NL</v>
      </c>
      <c r="D1200" t="str">
        <f>Clothing!D408</f>
        <v>PET</v>
      </c>
      <c r="E1200">
        <f>Clothing!E408</f>
        <v>1.1997593000000001E-2</v>
      </c>
      <c r="F1200">
        <f>Clothing!F408</f>
        <v>1</v>
      </c>
      <c r="G1200" t="str">
        <f>Clothing!G408</f>
        <v>https://eeb.org/library/draft-product-environmental-footprint-category-rules-pefcr-apparel-and-footwear/</v>
      </c>
      <c r="H1200">
        <f>Clothing!H408</f>
        <v>2</v>
      </c>
      <c r="I1200">
        <f>Clothing!I408</f>
        <v>0</v>
      </c>
      <c r="J1200">
        <f>Clothing!J408</f>
        <v>2</v>
      </c>
      <c r="K1200">
        <f>Clothing!K408</f>
        <v>1</v>
      </c>
      <c r="L1200">
        <f>Clothing!L408</f>
        <v>2</v>
      </c>
      <c r="M1200">
        <f>Clothing!M408</f>
        <v>3</v>
      </c>
      <c r="N1200">
        <f t="shared" si="91"/>
        <v>1.0301997916669636</v>
      </c>
      <c r="O1200">
        <f t="shared" si="92"/>
        <v>1.0242794655813865</v>
      </c>
    </row>
    <row r="1201" spans="1:15" customFormat="1" hidden="1">
      <c r="A1201" t="str">
        <f>Clothing!A413</f>
        <v>Clothing (product sector)</v>
      </c>
      <c r="B1201" t="str">
        <f>Clothing!B413</f>
        <v>Apparel accessories</v>
      </c>
      <c r="C1201" t="str">
        <f>Clothing!C413</f>
        <v>EU</v>
      </c>
      <c r="D1201" t="str">
        <f>Clothing!D413</f>
        <v>Acryl</v>
      </c>
      <c r="E1201">
        <f>Clothing!E413</f>
        <v>0.20473868100000001</v>
      </c>
      <c r="F1201">
        <f>Clothing!F413</f>
        <v>1</v>
      </c>
      <c r="G1201" t="str">
        <f>Clothing!G413</f>
        <v>https://eeb.org/library/draft-product-environmental-footprint-category-rules-pefcr-apparel-and-footwear/</v>
      </c>
      <c r="H1201">
        <f>Clothing!H413</f>
        <v>0</v>
      </c>
      <c r="I1201">
        <f>Clothing!I413</f>
        <v>1</v>
      </c>
      <c r="J1201">
        <f>Clothing!J413</f>
        <v>2</v>
      </c>
      <c r="K1201">
        <f>Clothing!K413</f>
        <v>1</v>
      </c>
      <c r="L1201">
        <f>Clothing!L413</f>
        <v>2</v>
      </c>
      <c r="M1201">
        <f>Clothing!M413</f>
        <v>3</v>
      </c>
      <c r="N1201">
        <f t="shared" si="91"/>
        <v>1.0242794655813865</v>
      </c>
      <c r="O1201">
        <f t="shared" si="92"/>
        <v>1.0248662490928169</v>
      </c>
    </row>
    <row r="1202" spans="1:15" customFormat="1" hidden="1">
      <c r="A1202" t="str">
        <f>Clothing!A414</f>
        <v>Clothing (product sector)</v>
      </c>
      <c r="B1202" t="str">
        <f>Clothing!B414</f>
        <v>Apparel accessories</v>
      </c>
      <c r="C1202" t="str">
        <f>Clothing!C414</f>
        <v>EU</v>
      </c>
      <c r="D1202" t="str">
        <f>Clothing!D414</f>
        <v>OTHER</v>
      </c>
      <c r="E1202">
        <f>Clothing!E414</f>
        <v>1.6914E-3</v>
      </c>
      <c r="F1202">
        <f>Clothing!F414</f>
        <v>1</v>
      </c>
      <c r="G1202" t="str">
        <f>Clothing!G414</f>
        <v>https://eeb.org/library/draft-product-environmental-footprint-category-rules-pefcr-apparel-and-footwear/</v>
      </c>
      <c r="H1202">
        <f>Clothing!H414</f>
        <v>0</v>
      </c>
      <c r="I1202">
        <f>Clothing!I414</f>
        <v>1</v>
      </c>
      <c r="J1202">
        <f>Clothing!J414</f>
        <v>2</v>
      </c>
      <c r="K1202">
        <f>Clothing!K414</f>
        <v>1</v>
      </c>
      <c r="L1202">
        <f>Clothing!L414</f>
        <v>2</v>
      </c>
      <c r="M1202">
        <f>Clothing!M414</f>
        <v>3</v>
      </c>
      <c r="N1202">
        <f t="shared" si="91"/>
        <v>1.0242794655813865</v>
      </c>
      <c r="O1202">
        <f t="shared" si="92"/>
        <v>1.0248662490928169</v>
      </c>
    </row>
    <row r="1203" spans="1:15" customFormat="1" hidden="1">
      <c r="A1203" t="str">
        <f>Clothing!A415</f>
        <v>Clothing (product sector)</v>
      </c>
      <c r="B1203" t="str">
        <f>Clothing!B415</f>
        <v>Apparel accessories</v>
      </c>
      <c r="C1203" t="str">
        <f>Clothing!C415</f>
        <v>EU</v>
      </c>
      <c r="D1203" t="str">
        <f>Clothing!D415</f>
        <v>PA</v>
      </c>
      <c r="E1203">
        <f>Clothing!E415</f>
        <v>2.3681463999999999E-2</v>
      </c>
      <c r="F1203">
        <f>Clothing!F415</f>
        <v>1</v>
      </c>
      <c r="G1203" t="str">
        <f>Clothing!G415</f>
        <v>https://eeb.org/library/draft-product-environmental-footprint-category-rules-pefcr-apparel-and-footwear/</v>
      </c>
      <c r="H1203">
        <f>Clothing!H415</f>
        <v>0</v>
      </c>
      <c r="I1203">
        <f>Clothing!I415</f>
        <v>1</v>
      </c>
      <c r="J1203">
        <f>Clothing!J415</f>
        <v>2</v>
      </c>
      <c r="K1203">
        <f>Clothing!K415</f>
        <v>1</v>
      </c>
      <c r="L1203">
        <f>Clothing!L415</f>
        <v>2</v>
      </c>
      <c r="M1203">
        <f>Clothing!M415</f>
        <v>3</v>
      </c>
      <c r="N1203">
        <f t="shared" si="91"/>
        <v>1.0242794655813865</v>
      </c>
      <c r="O1203">
        <f t="shared" si="92"/>
        <v>1.0248662490928169</v>
      </c>
    </row>
    <row r="1204" spans="1:15" customFormat="1" hidden="1">
      <c r="A1204" t="str">
        <f>Clothing!A416</f>
        <v>Clothing (product sector)</v>
      </c>
      <c r="B1204" t="str">
        <f>Clothing!B416</f>
        <v>Apparel accessories</v>
      </c>
      <c r="C1204" t="str">
        <f>Clothing!C416</f>
        <v>EU</v>
      </c>
      <c r="D1204" t="str">
        <f>Clothing!D416</f>
        <v>PET</v>
      </c>
      <c r="E1204">
        <f>Clothing!E416</f>
        <v>3.7583116E-2</v>
      </c>
      <c r="F1204">
        <f>Clothing!F416</f>
        <v>1</v>
      </c>
      <c r="G1204" t="str">
        <f>Clothing!G416</f>
        <v>https://eeb.org/library/draft-product-environmental-footprint-category-rules-pefcr-apparel-and-footwear/</v>
      </c>
      <c r="H1204">
        <f>Clothing!H416</f>
        <v>0</v>
      </c>
      <c r="I1204">
        <f>Clothing!I416</f>
        <v>1</v>
      </c>
      <c r="J1204">
        <f>Clothing!J416</f>
        <v>2</v>
      </c>
      <c r="K1204">
        <f>Clothing!K416</f>
        <v>1</v>
      </c>
      <c r="L1204">
        <f>Clothing!L416</f>
        <v>2</v>
      </c>
      <c r="M1204">
        <f>Clothing!M416</f>
        <v>3</v>
      </c>
      <c r="N1204">
        <f t="shared" si="91"/>
        <v>1.0242794655813865</v>
      </c>
      <c r="O1204">
        <f t="shared" si="92"/>
        <v>1.0248662490928169</v>
      </c>
    </row>
    <row r="1205" spans="1:15" customFormat="1" hidden="1">
      <c r="A1205" t="str">
        <f>Clothing!A417</f>
        <v>Clothing (product sector)</v>
      </c>
      <c r="B1205" t="str">
        <f>Clothing!B417</f>
        <v>Boots</v>
      </c>
      <c r="C1205" t="str">
        <f>Clothing!C417</f>
        <v>EU</v>
      </c>
      <c r="D1205" t="str">
        <f>Clothing!D417</f>
        <v>OTHER</v>
      </c>
      <c r="E1205">
        <f>Clothing!E417</f>
        <v>1.5247604999999999E-2</v>
      </c>
      <c r="F1205">
        <f>Clothing!F417</f>
        <v>1</v>
      </c>
      <c r="G1205" t="str">
        <f>Clothing!G417</f>
        <v>https://eeb.org/library/draft-product-environmental-footprint-category-rules-pefcr-apparel-and-footwear/</v>
      </c>
      <c r="H1205">
        <f>Clothing!H417</f>
        <v>0</v>
      </c>
      <c r="I1205">
        <f>Clothing!I417</f>
        <v>1</v>
      </c>
      <c r="J1205">
        <f>Clothing!J417</f>
        <v>2</v>
      </c>
      <c r="K1205">
        <f>Clothing!K417</f>
        <v>1</v>
      </c>
      <c r="L1205">
        <f>Clothing!L417</f>
        <v>2</v>
      </c>
      <c r="M1205">
        <f>Clothing!M417</f>
        <v>3</v>
      </c>
      <c r="N1205">
        <f t="shared" si="91"/>
        <v>1.0242794655813865</v>
      </c>
      <c r="O1205">
        <f t="shared" si="92"/>
        <v>1.0248662490928169</v>
      </c>
    </row>
    <row r="1206" spans="1:15" customFormat="1" hidden="1">
      <c r="A1206" t="str">
        <f>Clothing!A418</f>
        <v>Clothing (product sector)</v>
      </c>
      <c r="B1206" t="str">
        <f>Clothing!B418</f>
        <v>Boots</v>
      </c>
      <c r="C1206" t="str">
        <f>Clothing!C418</f>
        <v>EU</v>
      </c>
      <c r="D1206" t="str">
        <f>Clothing!D418</f>
        <v>PA</v>
      </c>
      <c r="E1206">
        <f>Clothing!E418</f>
        <v>3.7359577999999997E-2</v>
      </c>
      <c r="F1206">
        <f>Clothing!F418</f>
        <v>1</v>
      </c>
      <c r="G1206" t="str">
        <f>Clothing!G418</f>
        <v>https://eeb.org/library/draft-product-environmental-footprint-category-rules-pefcr-apparel-and-footwear/</v>
      </c>
      <c r="H1206">
        <f>Clothing!H418</f>
        <v>0</v>
      </c>
      <c r="I1206">
        <f>Clothing!I418</f>
        <v>1</v>
      </c>
      <c r="J1206">
        <f>Clothing!J418</f>
        <v>2</v>
      </c>
      <c r="K1206">
        <f>Clothing!K418</f>
        <v>1</v>
      </c>
      <c r="L1206">
        <f>Clothing!L418</f>
        <v>2</v>
      </c>
      <c r="M1206">
        <f>Clothing!M418</f>
        <v>3</v>
      </c>
      <c r="N1206">
        <f t="shared" si="91"/>
        <v>1.0242794655813865</v>
      </c>
      <c r="O1206">
        <f t="shared" si="92"/>
        <v>1.0248662490928169</v>
      </c>
    </row>
    <row r="1207" spans="1:15" customFormat="1" hidden="1">
      <c r="A1207" t="str">
        <f>Clothing!A419</f>
        <v>Clothing (product sector)</v>
      </c>
      <c r="B1207" t="str">
        <f>Clothing!B419</f>
        <v>Boots</v>
      </c>
      <c r="C1207" t="str">
        <f>Clothing!C419</f>
        <v>EU</v>
      </c>
      <c r="D1207" t="str">
        <f>Clothing!D419</f>
        <v>PET</v>
      </c>
      <c r="E1207">
        <f>Clothing!E419</f>
        <v>4.1425780000000002E-2</v>
      </c>
      <c r="F1207">
        <f>Clothing!F419</f>
        <v>1</v>
      </c>
      <c r="G1207" t="str">
        <f>Clothing!G419</f>
        <v>https://eeb.org/library/draft-product-environmental-footprint-category-rules-pefcr-apparel-and-footwear/</v>
      </c>
      <c r="H1207">
        <f>Clothing!H419</f>
        <v>0</v>
      </c>
      <c r="I1207">
        <f>Clothing!I419</f>
        <v>1</v>
      </c>
      <c r="J1207">
        <f>Clothing!J419</f>
        <v>2</v>
      </c>
      <c r="K1207">
        <f>Clothing!K419</f>
        <v>1</v>
      </c>
      <c r="L1207">
        <f>Clothing!L419</f>
        <v>2</v>
      </c>
      <c r="M1207">
        <f>Clothing!M419</f>
        <v>3</v>
      </c>
      <c r="N1207">
        <f t="shared" si="91"/>
        <v>1.0242794655813865</v>
      </c>
      <c r="O1207">
        <f t="shared" si="92"/>
        <v>1.0248662490928169</v>
      </c>
    </row>
    <row r="1208" spans="1:15" customFormat="1" hidden="1">
      <c r="A1208" t="str">
        <f>Clothing!A420</f>
        <v>Clothing (product sector)</v>
      </c>
      <c r="B1208" t="str">
        <f>Clothing!B420</f>
        <v>Boots</v>
      </c>
      <c r="C1208" t="str">
        <f>Clothing!C420</f>
        <v>EU</v>
      </c>
      <c r="D1208" t="str">
        <f>Clothing!D420</f>
        <v>PUR</v>
      </c>
      <c r="E1208">
        <f>Clothing!E420</f>
        <v>0.483395144</v>
      </c>
      <c r="F1208">
        <f>Clothing!F420</f>
        <v>1</v>
      </c>
      <c r="G1208" t="str">
        <f>Clothing!G420</f>
        <v>https://eeb.org/library/draft-product-environmental-footprint-category-rules-pefcr-apparel-and-footwear/</v>
      </c>
      <c r="H1208">
        <f>Clothing!H420</f>
        <v>0</v>
      </c>
      <c r="I1208">
        <f>Clothing!I420</f>
        <v>1</v>
      </c>
      <c r="J1208">
        <f>Clothing!J420</f>
        <v>2</v>
      </c>
      <c r="K1208">
        <f>Clothing!K420</f>
        <v>1</v>
      </c>
      <c r="L1208">
        <f>Clothing!L420</f>
        <v>2</v>
      </c>
      <c r="M1208">
        <f>Clothing!M420</f>
        <v>3</v>
      </c>
      <c r="N1208">
        <f t="shared" si="91"/>
        <v>1.0242794655813865</v>
      </c>
      <c r="O1208">
        <f t="shared" si="92"/>
        <v>1.0248662490928169</v>
      </c>
    </row>
    <row r="1209" spans="1:15" customFormat="1" hidden="1">
      <c r="A1209" t="str">
        <f>Clothing!A421</f>
        <v>Clothing (product sector)</v>
      </c>
      <c r="B1209" t="str">
        <f>Clothing!B421</f>
        <v>Boots</v>
      </c>
      <c r="C1209" t="str">
        <f>Clothing!C421</f>
        <v>EU</v>
      </c>
      <c r="D1209" t="str">
        <f>Clothing!D421</f>
        <v>PVC</v>
      </c>
      <c r="E1209">
        <f>Clothing!E421</f>
        <v>0.44302860100000002</v>
      </c>
      <c r="F1209">
        <f>Clothing!F421</f>
        <v>1</v>
      </c>
      <c r="G1209" t="str">
        <f>Clothing!G421</f>
        <v>https://eeb.org/library/draft-product-environmental-footprint-category-rules-pefcr-apparel-and-footwear/</v>
      </c>
      <c r="H1209">
        <f>Clothing!H421</f>
        <v>0</v>
      </c>
      <c r="I1209">
        <f>Clothing!I421</f>
        <v>1</v>
      </c>
      <c r="J1209">
        <f>Clothing!J421</f>
        <v>2</v>
      </c>
      <c r="K1209">
        <f>Clothing!K421</f>
        <v>1</v>
      </c>
      <c r="L1209">
        <f>Clothing!L421</f>
        <v>2</v>
      </c>
      <c r="M1209">
        <f>Clothing!M421</f>
        <v>3</v>
      </c>
      <c r="N1209">
        <f t="shared" si="91"/>
        <v>1.0242794655813865</v>
      </c>
      <c r="O1209">
        <f t="shared" si="92"/>
        <v>1.0248662490928169</v>
      </c>
    </row>
    <row r="1210" spans="1:15" customFormat="1" hidden="1">
      <c r="A1210" t="str">
        <f>Clothing!A422</f>
        <v>Clothing (product sector)</v>
      </c>
      <c r="B1210" t="str">
        <f>Clothing!B422</f>
        <v>Boots</v>
      </c>
      <c r="C1210" t="str">
        <f>Clothing!C422</f>
        <v>EU</v>
      </c>
      <c r="D1210" t="str">
        <f>Clothing!D422</f>
        <v>RUBBER</v>
      </c>
      <c r="E1210">
        <f>Clothing!E422</f>
        <v>0.18274958299999999</v>
      </c>
      <c r="F1210">
        <f>Clothing!F422</f>
        <v>1</v>
      </c>
      <c r="G1210" t="str">
        <f>Clothing!G422</f>
        <v>https://eeb.org/library/draft-product-environmental-footprint-category-rules-pefcr-apparel-and-footwear/</v>
      </c>
      <c r="H1210">
        <f>Clothing!H422</f>
        <v>0</v>
      </c>
      <c r="I1210">
        <f>Clothing!I422</f>
        <v>1</v>
      </c>
      <c r="J1210">
        <f>Clothing!J422</f>
        <v>2</v>
      </c>
      <c r="K1210">
        <f>Clothing!K422</f>
        <v>1</v>
      </c>
      <c r="L1210">
        <f>Clothing!L422</f>
        <v>2</v>
      </c>
      <c r="M1210">
        <f>Clothing!M422</f>
        <v>3</v>
      </c>
      <c r="N1210">
        <f t="shared" si="91"/>
        <v>1.0242794655813865</v>
      </c>
      <c r="O1210">
        <f t="shared" si="92"/>
        <v>1.0248662490928169</v>
      </c>
    </row>
    <row r="1211" spans="1:15" customFormat="1" hidden="1">
      <c r="A1211" t="str">
        <f>Clothing!A423</f>
        <v>Clothing (product sector)</v>
      </c>
      <c r="B1211" t="str">
        <f>Clothing!B423</f>
        <v>Closed-toed shoes</v>
      </c>
      <c r="C1211" t="str">
        <f>Clothing!C423</f>
        <v>EU</v>
      </c>
      <c r="D1211" t="str">
        <f>Clothing!D423</f>
        <v>OTHER</v>
      </c>
      <c r="E1211">
        <f>Clothing!E423</f>
        <v>0.25498618099999998</v>
      </c>
      <c r="F1211">
        <f>Clothing!F423</f>
        <v>1</v>
      </c>
      <c r="G1211" t="str">
        <f>Clothing!G423</f>
        <v>https://eeb.org/library/draft-product-environmental-footprint-category-rules-pefcr-apparel-and-footwear/</v>
      </c>
      <c r="H1211">
        <f>Clothing!H423</f>
        <v>0</v>
      </c>
      <c r="I1211">
        <f>Clothing!I423</f>
        <v>1</v>
      </c>
      <c r="J1211">
        <f>Clothing!J423</f>
        <v>2</v>
      </c>
      <c r="K1211">
        <f>Clothing!K423</f>
        <v>1</v>
      </c>
      <c r="L1211">
        <f>Clothing!L423</f>
        <v>2</v>
      </c>
      <c r="M1211">
        <f>Clothing!M423</f>
        <v>3</v>
      </c>
      <c r="N1211">
        <f t="shared" si="91"/>
        <v>1.0242794655813865</v>
      </c>
      <c r="O1211">
        <f t="shared" si="92"/>
        <v>1.0248662490928169</v>
      </c>
    </row>
    <row r="1212" spans="1:15" customFormat="1" hidden="1">
      <c r="A1212" t="str">
        <f>Clothing!A424</f>
        <v>Clothing (product sector)</v>
      </c>
      <c r="B1212" t="str">
        <f>Clothing!B424</f>
        <v>Closed-toed shoes</v>
      </c>
      <c r="C1212" t="str">
        <f>Clothing!C424</f>
        <v>EU</v>
      </c>
      <c r="D1212" t="str">
        <f>Clothing!D424</f>
        <v>PA</v>
      </c>
      <c r="E1212">
        <f>Clothing!E424</f>
        <v>8.1491139000000004E-2</v>
      </c>
      <c r="F1212">
        <f>Clothing!F424</f>
        <v>1</v>
      </c>
      <c r="G1212" t="str">
        <f>Clothing!G424</f>
        <v>https://eeb.org/library/draft-product-environmental-footprint-category-rules-pefcr-apparel-and-footwear/</v>
      </c>
      <c r="H1212">
        <f>Clothing!H424</f>
        <v>0</v>
      </c>
      <c r="I1212">
        <f>Clothing!I424</f>
        <v>1</v>
      </c>
      <c r="J1212">
        <f>Clothing!J424</f>
        <v>2</v>
      </c>
      <c r="K1212">
        <f>Clothing!K424</f>
        <v>1</v>
      </c>
      <c r="L1212">
        <f>Clothing!L424</f>
        <v>2</v>
      </c>
      <c r="M1212">
        <f>Clothing!M424</f>
        <v>3</v>
      </c>
      <c r="N1212">
        <f t="shared" si="91"/>
        <v>1.0242794655813865</v>
      </c>
      <c r="O1212">
        <f t="shared" si="92"/>
        <v>1.0248662490928169</v>
      </c>
    </row>
    <row r="1213" spans="1:15" customFormat="1" hidden="1">
      <c r="A1213" t="str">
        <f>Clothing!A425</f>
        <v>Clothing (product sector)</v>
      </c>
      <c r="B1213" t="str">
        <f>Clothing!B425</f>
        <v>Closed-toed shoes</v>
      </c>
      <c r="C1213" t="str">
        <f>Clothing!C425</f>
        <v>EU</v>
      </c>
      <c r="D1213" t="str">
        <f>Clothing!D425</f>
        <v>PET</v>
      </c>
      <c r="E1213">
        <f>Clothing!E425</f>
        <v>0.16754361700000001</v>
      </c>
      <c r="F1213">
        <f>Clothing!F425</f>
        <v>1</v>
      </c>
      <c r="G1213" t="str">
        <f>Clothing!G425</f>
        <v>https://eeb.org/library/draft-product-environmental-footprint-category-rules-pefcr-apparel-and-footwear/</v>
      </c>
      <c r="H1213">
        <f>Clothing!H425</f>
        <v>0</v>
      </c>
      <c r="I1213">
        <f>Clothing!I425</f>
        <v>1</v>
      </c>
      <c r="J1213">
        <f>Clothing!J425</f>
        <v>2</v>
      </c>
      <c r="K1213">
        <f>Clothing!K425</f>
        <v>1</v>
      </c>
      <c r="L1213">
        <f>Clothing!L425</f>
        <v>2</v>
      </c>
      <c r="M1213">
        <f>Clothing!M425</f>
        <v>3</v>
      </c>
      <c r="N1213">
        <f t="shared" si="91"/>
        <v>1.0242794655813865</v>
      </c>
      <c r="O1213">
        <f t="shared" si="92"/>
        <v>1.0248662490928169</v>
      </c>
    </row>
    <row r="1214" spans="1:15" customFormat="1" hidden="1">
      <c r="A1214" t="str">
        <f>Clothing!A426</f>
        <v>Clothing (product sector)</v>
      </c>
      <c r="B1214" t="str">
        <f>Clothing!B426</f>
        <v>Closed-toed shoes</v>
      </c>
      <c r="C1214" t="str">
        <f>Clothing!C426</f>
        <v>EU</v>
      </c>
      <c r="D1214" t="str">
        <f>Clothing!D426</f>
        <v>PUR</v>
      </c>
      <c r="E1214">
        <f>Clothing!E426</f>
        <v>0.39540483300000001</v>
      </c>
      <c r="F1214">
        <f>Clothing!F426</f>
        <v>1</v>
      </c>
      <c r="G1214" t="str">
        <f>Clothing!G426</f>
        <v>https://eeb.org/library/draft-product-environmental-footprint-category-rules-pefcr-apparel-and-footwear/</v>
      </c>
      <c r="H1214">
        <f>Clothing!H426</f>
        <v>0</v>
      </c>
      <c r="I1214">
        <f>Clothing!I426</f>
        <v>1</v>
      </c>
      <c r="J1214">
        <f>Clothing!J426</f>
        <v>2</v>
      </c>
      <c r="K1214">
        <f>Clothing!K426</f>
        <v>1</v>
      </c>
      <c r="L1214">
        <f>Clothing!L426</f>
        <v>2</v>
      </c>
      <c r="M1214">
        <f>Clothing!M426</f>
        <v>3</v>
      </c>
      <c r="N1214">
        <f t="shared" si="91"/>
        <v>1.0242794655813865</v>
      </c>
      <c r="O1214">
        <f t="shared" si="92"/>
        <v>1.0248662490928169</v>
      </c>
    </row>
    <row r="1215" spans="1:15" customFormat="1" hidden="1">
      <c r="A1215" t="str">
        <f>Clothing!A427</f>
        <v>Clothing (product sector)</v>
      </c>
      <c r="B1215" t="str">
        <f>Clothing!B427</f>
        <v>Closed-toed shoes</v>
      </c>
      <c r="C1215" t="str">
        <f>Clothing!C427</f>
        <v>EU</v>
      </c>
      <c r="D1215" t="str">
        <f>Clothing!D427</f>
        <v>PVC</v>
      </c>
      <c r="E1215">
        <f>Clothing!E427</f>
        <v>0.41415547000000003</v>
      </c>
      <c r="F1215">
        <f>Clothing!F427</f>
        <v>1</v>
      </c>
      <c r="G1215" t="str">
        <f>Clothing!G427</f>
        <v>https://eeb.org/library/draft-product-environmental-footprint-category-rules-pefcr-apparel-and-footwear/</v>
      </c>
      <c r="H1215">
        <f>Clothing!H427</f>
        <v>0</v>
      </c>
      <c r="I1215">
        <f>Clothing!I427</f>
        <v>1</v>
      </c>
      <c r="J1215">
        <f>Clothing!J427</f>
        <v>2</v>
      </c>
      <c r="K1215">
        <f>Clothing!K427</f>
        <v>1</v>
      </c>
      <c r="L1215">
        <f>Clothing!L427</f>
        <v>2</v>
      </c>
      <c r="M1215">
        <f>Clothing!M427</f>
        <v>3</v>
      </c>
      <c r="N1215">
        <f t="shared" si="91"/>
        <v>1.0242794655813865</v>
      </c>
      <c r="O1215">
        <f t="shared" si="92"/>
        <v>1.0248662490928169</v>
      </c>
    </row>
    <row r="1216" spans="1:15" customFormat="1" hidden="1">
      <c r="A1216" t="str">
        <f>Clothing!A428</f>
        <v>Clothing (product sector)</v>
      </c>
      <c r="B1216" t="str">
        <f>Clothing!B428</f>
        <v>Closed-toed shoes</v>
      </c>
      <c r="C1216" t="str">
        <f>Clothing!C428</f>
        <v>EU</v>
      </c>
      <c r="D1216" t="str">
        <f>Clothing!D428</f>
        <v>RUBBER</v>
      </c>
      <c r="E1216">
        <f>Clothing!E428</f>
        <v>0.57981856300000001</v>
      </c>
      <c r="F1216">
        <f>Clothing!F428</f>
        <v>1</v>
      </c>
      <c r="G1216" t="str">
        <f>Clothing!G428</f>
        <v>https://eeb.org/library/draft-product-environmental-footprint-category-rules-pefcr-apparel-and-footwear/</v>
      </c>
      <c r="H1216">
        <f>Clothing!H428</f>
        <v>0</v>
      </c>
      <c r="I1216">
        <f>Clothing!I428</f>
        <v>1</v>
      </c>
      <c r="J1216">
        <f>Clothing!J428</f>
        <v>2</v>
      </c>
      <c r="K1216">
        <f>Clothing!K428</f>
        <v>1</v>
      </c>
      <c r="L1216">
        <f>Clothing!L428</f>
        <v>2</v>
      </c>
      <c r="M1216">
        <f>Clothing!M428</f>
        <v>3</v>
      </c>
      <c r="N1216">
        <f t="shared" si="91"/>
        <v>1.0242794655813865</v>
      </c>
      <c r="O1216">
        <f t="shared" si="92"/>
        <v>1.0248662490928169</v>
      </c>
    </row>
    <row r="1217" spans="1:15" customFormat="1" hidden="1">
      <c r="A1217" t="str">
        <f>Clothing!A429</f>
        <v>Clothing (product sector)</v>
      </c>
      <c r="B1217" t="str">
        <f>Clothing!B429</f>
        <v>Dresses skirts and jumpsuits</v>
      </c>
      <c r="C1217" t="str">
        <f>Clothing!C429</f>
        <v>EU</v>
      </c>
      <c r="D1217" t="str">
        <f>Clothing!D429</f>
        <v>Acryl</v>
      </c>
      <c r="E1217">
        <f>Clothing!E429</f>
        <v>0</v>
      </c>
      <c r="F1217">
        <f>Clothing!F429</f>
        <v>1</v>
      </c>
      <c r="G1217" t="str">
        <f>Clothing!G429</f>
        <v>https://eeb.org/library/draft-product-environmental-footprint-category-rules-pefcr-apparel-and-footwear/</v>
      </c>
      <c r="H1217">
        <f>Clothing!H429</f>
        <v>0</v>
      </c>
      <c r="I1217">
        <f>Clothing!I429</f>
        <v>1</v>
      </c>
      <c r="J1217">
        <f>Clothing!J429</f>
        <v>2</v>
      </c>
      <c r="K1217">
        <f>Clothing!K429</f>
        <v>1</v>
      </c>
      <c r="L1217">
        <f>Clothing!L429</f>
        <v>2</v>
      </c>
      <c r="M1217">
        <f>Clothing!M429</f>
        <v>3</v>
      </c>
      <c r="N1217">
        <f t="shared" si="91"/>
        <v>1.0242794655813865</v>
      </c>
      <c r="O1217">
        <f t="shared" si="92"/>
        <v>1.0248662490928169</v>
      </c>
    </row>
    <row r="1218" spans="1:15" customFormat="1" hidden="1">
      <c r="A1218" t="str">
        <f>Clothing!A430</f>
        <v>Clothing (product sector)</v>
      </c>
      <c r="B1218" t="str">
        <f>Clothing!B430</f>
        <v>Dresses skirts and jumpsuits</v>
      </c>
      <c r="C1218" t="str">
        <f>Clothing!C430</f>
        <v>EU</v>
      </c>
      <c r="D1218" t="str">
        <f>Clothing!D430</f>
        <v>OTHER</v>
      </c>
      <c r="E1218">
        <f>Clothing!E430</f>
        <v>1.3613259999999999E-3</v>
      </c>
      <c r="F1218">
        <f>Clothing!F430</f>
        <v>1</v>
      </c>
      <c r="G1218" t="str">
        <f>Clothing!G430</f>
        <v>https://eeb.org/library/draft-product-environmental-footprint-category-rules-pefcr-apparel-and-footwear/</v>
      </c>
      <c r="H1218">
        <f>Clothing!H430</f>
        <v>0</v>
      </c>
      <c r="I1218">
        <f>Clothing!I430</f>
        <v>1</v>
      </c>
      <c r="J1218">
        <f>Clothing!J430</f>
        <v>2</v>
      </c>
      <c r="K1218">
        <f>Clothing!K430</f>
        <v>1</v>
      </c>
      <c r="L1218">
        <f>Clothing!L430</f>
        <v>2</v>
      </c>
      <c r="M1218">
        <f>Clothing!M430</f>
        <v>3</v>
      </c>
      <c r="N1218">
        <f t="shared" si="91"/>
        <v>1.0242794655813865</v>
      </c>
      <c r="O1218">
        <f t="shared" si="92"/>
        <v>1.0248662490928169</v>
      </c>
    </row>
    <row r="1219" spans="1:15" customFormat="1" hidden="1">
      <c r="A1219" t="str">
        <f>Clothing!A431</f>
        <v>Clothing (product sector)</v>
      </c>
      <c r="B1219" t="str">
        <f>Clothing!B431</f>
        <v>Dresses skirts and jumpsuits</v>
      </c>
      <c r="C1219" t="str">
        <f>Clothing!C431</f>
        <v>EU</v>
      </c>
      <c r="D1219" t="str">
        <f>Clothing!D431</f>
        <v>PA</v>
      </c>
      <c r="E1219">
        <f>Clothing!E431</f>
        <v>2.6684098E-2</v>
      </c>
      <c r="F1219">
        <f>Clothing!F431</f>
        <v>1</v>
      </c>
      <c r="G1219" t="str">
        <f>Clothing!G431</f>
        <v>https://eeb.org/library/draft-product-environmental-footprint-category-rules-pefcr-apparel-and-footwear/</v>
      </c>
      <c r="H1219">
        <f>Clothing!H431</f>
        <v>0</v>
      </c>
      <c r="I1219">
        <f>Clothing!I431</f>
        <v>1</v>
      </c>
      <c r="J1219">
        <f>Clothing!J431</f>
        <v>2</v>
      </c>
      <c r="K1219">
        <f>Clothing!K431</f>
        <v>1</v>
      </c>
      <c r="L1219">
        <f>Clothing!L431</f>
        <v>2</v>
      </c>
      <c r="M1219">
        <f>Clothing!M431</f>
        <v>3</v>
      </c>
      <c r="N1219">
        <f t="shared" si="91"/>
        <v>1.0242794655813865</v>
      </c>
      <c r="O1219">
        <f t="shared" si="92"/>
        <v>1.0248662490928169</v>
      </c>
    </row>
    <row r="1220" spans="1:15" customFormat="1" hidden="1">
      <c r="A1220" t="str">
        <f>Clothing!A432</f>
        <v>Clothing (product sector)</v>
      </c>
      <c r="B1220" t="str">
        <f>Clothing!B432</f>
        <v>Dresses skirts and jumpsuits</v>
      </c>
      <c r="C1220" t="str">
        <f>Clothing!C432</f>
        <v>EU</v>
      </c>
      <c r="D1220" t="str">
        <f>Clothing!D432</f>
        <v>PET</v>
      </c>
      <c r="E1220">
        <f>Clothing!E432</f>
        <v>3.6985481000000001E-2</v>
      </c>
      <c r="F1220">
        <f>Clothing!F432</f>
        <v>1</v>
      </c>
      <c r="G1220" t="str">
        <f>Clothing!G432</f>
        <v>https://eeb.org/library/draft-product-environmental-footprint-category-rules-pefcr-apparel-and-footwear/</v>
      </c>
      <c r="H1220">
        <f>Clothing!H432</f>
        <v>0</v>
      </c>
      <c r="I1220">
        <f>Clothing!I432</f>
        <v>1</v>
      </c>
      <c r="J1220">
        <f>Clothing!J432</f>
        <v>2</v>
      </c>
      <c r="K1220">
        <f>Clothing!K432</f>
        <v>1</v>
      </c>
      <c r="L1220">
        <f>Clothing!L432</f>
        <v>2</v>
      </c>
      <c r="M1220">
        <f>Clothing!M432</f>
        <v>3</v>
      </c>
      <c r="N1220">
        <f t="shared" si="91"/>
        <v>1.0242794655813865</v>
      </c>
      <c r="O1220">
        <f t="shared" si="92"/>
        <v>1.0248662490928169</v>
      </c>
    </row>
    <row r="1221" spans="1:15" customFormat="1" hidden="1">
      <c r="A1221" t="str">
        <f>Clothing!A433</f>
        <v>Clothing (product sector)</v>
      </c>
      <c r="B1221" t="str">
        <f>Clothing!B433</f>
        <v>Jackets and coats</v>
      </c>
      <c r="C1221" t="str">
        <f>Clothing!C433</f>
        <v>EU</v>
      </c>
      <c r="D1221" t="str">
        <f>Clothing!D433</f>
        <v>Acryl</v>
      </c>
      <c r="E1221">
        <f>Clothing!E433</f>
        <v>0.51736573699999999</v>
      </c>
      <c r="F1221">
        <f>Clothing!F433</f>
        <v>1</v>
      </c>
      <c r="G1221" t="str">
        <f>Clothing!G433</f>
        <v>https://eeb.org/library/draft-product-environmental-footprint-category-rules-pefcr-apparel-and-footwear/</v>
      </c>
      <c r="H1221">
        <f>Clothing!H433</f>
        <v>0</v>
      </c>
      <c r="I1221">
        <f>Clothing!I433</f>
        <v>1</v>
      </c>
      <c r="J1221">
        <f>Clothing!J433</f>
        <v>2</v>
      </c>
      <c r="K1221">
        <f>Clothing!K433</f>
        <v>1</v>
      </c>
      <c r="L1221">
        <f>Clothing!L433</f>
        <v>2</v>
      </c>
      <c r="M1221">
        <f>Clothing!M433</f>
        <v>3</v>
      </c>
      <c r="N1221">
        <f t="shared" si="91"/>
        <v>1.0242794655813865</v>
      </c>
      <c r="O1221">
        <f t="shared" si="92"/>
        <v>1.0248662490928169</v>
      </c>
    </row>
    <row r="1222" spans="1:15" customFormat="1" hidden="1">
      <c r="A1222" t="str">
        <f>Clothing!A434</f>
        <v>Clothing (product sector)</v>
      </c>
      <c r="B1222" t="str">
        <f>Clothing!B434</f>
        <v>Jackets and coats</v>
      </c>
      <c r="C1222" t="str">
        <f>Clothing!C434</f>
        <v>EU</v>
      </c>
      <c r="D1222" t="str">
        <f>Clothing!D434</f>
        <v>OTHER</v>
      </c>
      <c r="E1222">
        <f>Clothing!E434</f>
        <v>6.2168635E-2</v>
      </c>
      <c r="F1222">
        <f>Clothing!F434</f>
        <v>1</v>
      </c>
      <c r="G1222" t="str">
        <f>Clothing!G434</f>
        <v>https://eeb.org/library/draft-product-environmental-footprint-category-rules-pefcr-apparel-and-footwear/</v>
      </c>
      <c r="H1222">
        <f>Clothing!H434</f>
        <v>0</v>
      </c>
      <c r="I1222">
        <f>Clothing!I434</f>
        <v>1</v>
      </c>
      <c r="J1222">
        <f>Clothing!J434</f>
        <v>2</v>
      </c>
      <c r="K1222">
        <f>Clothing!K434</f>
        <v>1</v>
      </c>
      <c r="L1222">
        <f>Clothing!L434</f>
        <v>2</v>
      </c>
      <c r="M1222">
        <f>Clothing!M434</f>
        <v>3</v>
      </c>
      <c r="N1222">
        <f t="shared" si="91"/>
        <v>1.0242794655813865</v>
      </c>
      <c r="O1222">
        <f t="shared" si="92"/>
        <v>1.0248662490928169</v>
      </c>
    </row>
    <row r="1223" spans="1:15" customFormat="1" hidden="1">
      <c r="A1223" t="str">
        <f>Clothing!A435</f>
        <v>Clothing (product sector)</v>
      </c>
      <c r="B1223" t="str">
        <f>Clothing!B435</f>
        <v>Jackets and coats</v>
      </c>
      <c r="C1223" t="str">
        <f>Clothing!C435</f>
        <v>EU</v>
      </c>
      <c r="D1223" t="str">
        <f>Clothing!D435</f>
        <v>PA</v>
      </c>
      <c r="E1223">
        <f>Clothing!E435</f>
        <v>0.32641106600000003</v>
      </c>
      <c r="F1223">
        <f>Clothing!F435</f>
        <v>1</v>
      </c>
      <c r="G1223" t="str">
        <f>Clothing!G435</f>
        <v>https://eeb.org/library/draft-product-environmental-footprint-category-rules-pefcr-apparel-and-footwear/</v>
      </c>
      <c r="H1223">
        <f>Clothing!H435</f>
        <v>0</v>
      </c>
      <c r="I1223">
        <f>Clothing!I435</f>
        <v>1</v>
      </c>
      <c r="J1223">
        <f>Clothing!J435</f>
        <v>2</v>
      </c>
      <c r="K1223">
        <f>Clothing!K435</f>
        <v>1</v>
      </c>
      <c r="L1223">
        <f>Clothing!L435</f>
        <v>2</v>
      </c>
      <c r="M1223">
        <f>Clothing!M435</f>
        <v>3</v>
      </c>
      <c r="N1223">
        <f t="shared" si="91"/>
        <v>1.0242794655813865</v>
      </c>
      <c r="O1223">
        <f t="shared" si="92"/>
        <v>1.0248662490928169</v>
      </c>
    </row>
    <row r="1224" spans="1:15" customFormat="1" hidden="1">
      <c r="A1224" t="str">
        <f>Clothing!A436</f>
        <v>Clothing (product sector)</v>
      </c>
      <c r="B1224" t="str">
        <f>Clothing!B436</f>
        <v>Jackets and coats</v>
      </c>
      <c r="C1224" t="str">
        <f>Clothing!C436</f>
        <v>EU</v>
      </c>
      <c r="D1224" t="str">
        <f>Clothing!D436</f>
        <v>PET</v>
      </c>
      <c r="E1224">
        <f>Clothing!E436</f>
        <v>0.18157198999999999</v>
      </c>
      <c r="F1224">
        <f>Clothing!F436</f>
        <v>1</v>
      </c>
      <c r="G1224" t="str">
        <f>Clothing!G436</f>
        <v>https://eeb.org/library/draft-product-environmental-footprint-category-rules-pefcr-apparel-and-footwear/</v>
      </c>
      <c r="H1224">
        <f>Clothing!H436</f>
        <v>0</v>
      </c>
      <c r="I1224">
        <f>Clothing!I436</f>
        <v>1</v>
      </c>
      <c r="J1224">
        <f>Clothing!J436</f>
        <v>2</v>
      </c>
      <c r="K1224">
        <f>Clothing!K436</f>
        <v>1</v>
      </c>
      <c r="L1224">
        <f>Clothing!L436</f>
        <v>2</v>
      </c>
      <c r="M1224">
        <f>Clothing!M436</f>
        <v>3</v>
      </c>
      <c r="N1224">
        <f t="shared" si="91"/>
        <v>1.0242794655813865</v>
      </c>
      <c r="O1224">
        <f t="shared" si="92"/>
        <v>1.0248662490928169</v>
      </c>
    </row>
    <row r="1225" spans="1:15" customFormat="1" hidden="1">
      <c r="A1225" t="str">
        <f>Clothing!A437</f>
        <v>Clothing (product sector)</v>
      </c>
      <c r="B1225" t="str">
        <f>Clothing!B437</f>
        <v>Leggings stockings tights and socks</v>
      </c>
      <c r="C1225" t="str">
        <f>Clothing!C437</f>
        <v>EU</v>
      </c>
      <c r="D1225" t="str">
        <f>Clothing!D437</f>
        <v>Acryl</v>
      </c>
      <c r="E1225">
        <f>Clothing!E437</f>
        <v>2.4568019E-2</v>
      </c>
      <c r="F1225">
        <f>Clothing!F437</f>
        <v>1</v>
      </c>
      <c r="G1225" t="str">
        <f>Clothing!G437</f>
        <v>https://eeb.org/library/draft-product-environmental-footprint-category-rules-pefcr-apparel-and-footwear/</v>
      </c>
      <c r="H1225">
        <f>Clothing!H437</f>
        <v>0</v>
      </c>
      <c r="I1225">
        <f>Clothing!I437</f>
        <v>1</v>
      </c>
      <c r="J1225">
        <f>Clothing!J437</f>
        <v>2</v>
      </c>
      <c r="K1225">
        <f>Clothing!K437</f>
        <v>1</v>
      </c>
      <c r="L1225">
        <f>Clothing!L437</f>
        <v>2</v>
      </c>
      <c r="M1225">
        <f>Clothing!M437</f>
        <v>3</v>
      </c>
      <c r="N1225">
        <f t="shared" si="91"/>
        <v>1.0242794655813865</v>
      </c>
      <c r="O1225">
        <f t="shared" si="92"/>
        <v>1.0248662490928169</v>
      </c>
    </row>
    <row r="1226" spans="1:15" customFormat="1" hidden="1">
      <c r="A1226" t="str">
        <f>Clothing!A438</f>
        <v>Clothing (product sector)</v>
      </c>
      <c r="B1226" t="str">
        <f>Clothing!B438</f>
        <v>Leggings stockings tights and socks</v>
      </c>
      <c r="C1226" t="str">
        <f>Clothing!C438</f>
        <v>EU</v>
      </c>
      <c r="D1226" t="str">
        <f>Clothing!D438</f>
        <v>OTHER</v>
      </c>
      <c r="E1226">
        <f>Clothing!E438</f>
        <v>1.8026413000000002E-2</v>
      </c>
      <c r="F1226">
        <f>Clothing!F438</f>
        <v>1</v>
      </c>
      <c r="G1226" t="str">
        <f>Clothing!G438</f>
        <v>https://eeb.org/library/draft-product-environmental-footprint-category-rules-pefcr-apparel-and-footwear/</v>
      </c>
      <c r="H1226">
        <f>Clothing!H438</f>
        <v>0</v>
      </c>
      <c r="I1226">
        <f>Clothing!I438</f>
        <v>1</v>
      </c>
      <c r="J1226">
        <f>Clothing!J438</f>
        <v>2</v>
      </c>
      <c r="K1226">
        <f>Clothing!K438</f>
        <v>1</v>
      </c>
      <c r="L1226">
        <f>Clothing!L438</f>
        <v>2</v>
      </c>
      <c r="M1226">
        <f>Clothing!M438</f>
        <v>3</v>
      </c>
      <c r="N1226">
        <f t="shared" si="91"/>
        <v>1.0242794655813865</v>
      </c>
      <c r="O1226">
        <f t="shared" si="92"/>
        <v>1.0248662490928169</v>
      </c>
    </row>
    <row r="1227" spans="1:15" customFormat="1" hidden="1">
      <c r="A1227" t="str">
        <f>Clothing!A439</f>
        <v>Clothing (product sector)</v>
      </c>
      <c r="B1227" t="str">
        <f>Clothing!B439</f>
        <v>Leggings stockings tights and socks</v>
      </c>
      <c r="C1227" t="str">
        <f>Clothing!C439</f>
        <v>EU</v>
      </c>
      <c r="D1227" t="str">
        <f>Clothing!D439</f>
        <v>PA</v>
      </c>
      <c r="E1227">
        <f>Clothing!E439</f>
        <v>5.0338750000000002E-2</v>
      </c>
      <c r="F1227">
        <f>Clothing!F439</f>
        <v>1</v>
      </c>
      <c r="G1227" t="str">
        <f>Clothing!G439</f>
        <v>https://eeb.org/library/draft-product-environmental-footprint-category-rules-pefcr-apparel-and-footwear/</v>
      </c>
      <c r="H1227">
        <f>Clothing!H439</f>
        <v>0</v>
      </c>
      <c r="I1227">
        <f>Clothing!I439</f>
        <v>1</v>
      </c>
      <c r="J1227">
        <f>Clothing!J439</f>
        <v>2</v>
      </c>
      <c r="K1227">
        <f>Clothing!K439</f>
        <v>1</v>
      </c>
      <c r="L1227">
        <f>Clothing!L439</f>
        <v>2</v>
      </c>
      <c r="M1227">
        <f>Clothing!M439</f>
        <v>3</v>
      </c>
      <c r="N1227">
        <f t="shared" si="91"/>
        <v>1.0242794655813865</v>
      </c>
      <c r="O1227">
        <f t="shared" si="92"/>
        <v>1.0248662490928169</v>
      </c>
    </row>
    <row r="1228" spans="1:15" customFormat="1" hidden="1">
      <c r="A1228" t="str">
        <f>Clothing!A440</f>
        <v>Clothing (product sector)</v>
      </c>
      <c r="B1228" t="str">
        <f>Clothing!B440</f>
        <v>Leggings stockings tights and socks</v>
      </c>
      <c r="C1228" t="str">
        <f>Clothing!C440</f>
        <v>EU</v>
      </c>
      <c r="D1228" t="str">
        <f>Clothing!D440</f>
        <v>PET</v>
      </c>
      <c r="E1228">
        <f>Clothing!E440</f>
        <v>7.0447210000000003E-3</v>
      </c>
      <c r="F1228">
        <f>Clothing!F440</f>
        <v>1</v>
      </c>
      <c r="G1228" t="str">
        <f>Clothing!G440</f>
        <v>https://eeb.org/library/draft-product-environmental-footprint-category-rules-pefcr-apparel-and-footwear/</v>
      </c>
      <c r="H1228">
        <f>Clothing!H440</f>
        <v>0</v>
      </c>
      <c r="I1228">
        <f>Clothing!I440</f>
        <v>1</v>
      </c>
      <c r="J1228">
        <f>Clothing!J440</f>
        <v>2</v>
      </c>
      <c r="K1228">
        <f>Clothing!K440</f>
        <v>1</v>
      </c>
      <c r="L1228">
        <f>Clothing!L440</f>
        <v>2</v>
      </c>
      <c r="M1228">
        <f>Clothing!M440</f>
        <v>3</v>
      </c>
      <c r="N1228">
        <f t="shared" si="91"/>
        <v>1.0242794655813865</v>
      </c>
      <c r="O1228">
        <f t="shared" si="92"/>
        <v>1.0248662490928169</v>
      </c>
    </row>
    <row r="1229" spans="1:15" customFormat="1" hidden="1">
      <c r="A1229" t="str">
        <f>Clothing!A441</f>
        <v>Clothing (product sector)</v>
      </c>
      <c r="B1229" t="str">
        <f>Clothing!B441</f>
        <v>Open-toed shoes</v>
      </c>
      <c r="C1229" t="str">
        <f>Clothing!C441</f>
        <v>EU</v>
      </c>
      <c r="D1229" t="str">
        <f>Clothing!D441</f>
        <v>OTHER</v>
      </c>
      <c r="E1229">
        <f>Clothing!E441</f>
        <v>0.32495332500000002</v>
      </c>
      <c r="F1229">
        <f>Clothing!F441</f>
        <v>1</v>
      </c>
      <c r="G1229" t="str">
        <f>Clothing!G441</f>
        <v>https://eeb.org/library/draft-product-environmental-footprint-category-rules-pefcr-apparel-and-footwear/</v>
      </c>
      <c r="H1229">
        <f>Clothing!H441</f>
        <v>0</v>
      </c>
      <c r="I1229">
        <f>Clothing!I441</f>
        <v>1</v>
      </c>
      <c r="J1229">
        <f>Clothing!J441</f>
        <v>2</v>
      </c>
      <c r="K1229">
        <f>Clothing!K441</f>
        <v>1</v>
      </c>
      <c r="L1229">
        <f>Clothing!L441</f>
        <v>2</v>
      </c>
      <c r="M1229">
        <f>Clothing!M441</f>
        <v>3</v>
      </c>
      <c r="N1229">
        <f t="shared" si="91"/>
        <v>1.0242794655813865</v>
      </c>
      <c r="O1229">
        <f t="shared" si="92"/>
        <v>1.0248662490928169</v>
      </c>
    </row>
    <row r="1230" spans="1:15" customFormat="1" hidden="1">
      <c r="A1230" t="str">
        <f>Clothing!A442</f>
        <v>Clothing (product sector)</v>
      </c>
      <c r="B1230" t="str">
        <f>Clothing!B442</f>
        <v>Open-toed shoes</v>
      </c>
      <c r="C1230" t="str">
        <f>Clothing!C442</f>
        <v>EU</v>
      </c>
      <c r="D1230" t="str">
        <f>Clothing!D442</f>
        <v>PA</v>
      </c>
      <c r="E1230">
        <f>Clothing!E442</f>
        <v>0</v>
      </c>
      <c r="F1230">
        <f>Clothing!F442</f>
        <v>1</v>
      </c>
      <c r="G1230" t="str">
        <f>Clothing!G442</f>
        <v>https://eeb.org/library/draft-product-environmental-footprint-category-rules-pefcr-apparel-and-footwear/</v>
      </c>
      <c r="H1230">
        <f>Clothing!H442</f>
        <v>0</v>
      </c>
      <c r="I1230">
        <f>Clothing!I442</f>
        <v>1</v>
      </c>
      <c r="J1230">
        <f>Clothing!J442</f>
        <v>2</v>
      </c>
      <c r="K1230">
        <f>Clothing!K442</f>
        <v>1</v>
      </c>
      <c r="L1230">
        <f>Clothing!L442</f>
        <v>2</v>
      </c>
      <c r="M1230">
        <f>Clothing!M442</f>
        <v>3</v>
      </c>
      <c r="N1230">
        <f t="shared" si="91"/>
        <v>1.0242794655813865</v>
      </c>
      <c r="O1230">
        <f t="shared" si="92"/>
        <v>1.0248662490928169</v>
      </c>
    </row>
    <row r="1231" spans="1:15" customFormat="1" hidden="1">
      <c r="A1231" t="str">
        <f>Clothing!A443</f>
        <v>Clothing (product sector)</v>
      </c>
      <c r="B1231" t="str">
        <f>Clothing!B443</f>
        <v>Open-toed shoes</v>
      </c>
      <c r="C1231" t="str">
        <f>Clothing!C443</f>
        <v>EU</v>
      </c>
      <c r="D1231" t="str">
        <f>Clothing!D443</f>
        <v>PET</v>
      </c>
      <c r="E1231">
        <f>Clothing!E443</f>
        <v>6.4915909999999997E-3</v>
      </c>
      <c r="F1231">
        <f>Clothing!F443</f>
        <v>1</v>
      </c>
      <c r="G1231" t="str">
        <f>Clothing!G443</f>
        <v>https://eeb.org/library/draft-product-environmental-footprint-category-rules-pefcr-apparel-and-footwear/</v>
      </c>
      <c r="H1231">
        <f>Clothing!H443</f>
        <v>0</v>
      </c>
      <c r="I1231">
        <f>Clothing!I443</f>
        <v>1</v>
      </c>
      <c r="J1231">
        <f>Clothing!J443</f>
        <v>2</v>
      </c>
      <c r="K1231">
        <f>Clothing!K443</f>
        <v>1</v>
      </c>
      <c r="L1231">
        <f>Clothing!L443</f>
        <v>2</v>
      </c>
      <c r="M1231">
        <f>Clothing!M443</f>
        <v>3</v>
      </c>
      <c r="N1231">
        <f t="shared" si="91"/>
        <v>1.0242794655813865</v>
      </c>
      <c r="O1231">
        <f t="shared" si="92"/>
        <v>1.0248662490928169</v>
      </c>
    </row>
    <row r="1232" spans="1:15" customFormat="1" hidden="1">
      <c r="A1232" t="str">
        <f>Clothing!A444</f>
        <v>Clothing (product sector)</v>
      </c>
      <c r="B1232" t="str">
        <f>Clothing!B444</f>
        <v>Open-toed shoes</v>
      </c>
      <c r="C1232" t="str">
        <f>Clothing!C444</f>
        <v>EU</v>
      </c>
      <c r="D1232" t="str">
        <f>Clothing!D444</f>
        <v>PUR</v>
      </c>
      <c r="E1232">
        <f>Clothing!E444</f>
        <v>0.121200023</v>
      </c>
      <c r="F1232">
        <f>Clothing!F444</f>
        <v>1</v>
      </c>
      <c r="G1232" t="str">
        <f>Clothing!G444</f>
        <v>https://eeb.org/library/draft-product-environmental-footprint-category-rules-pefcr-apparel-and-footwear/</v>
      </c>
      <c r="H1232">
        <f>Clothing!H444</f>
        <v>0</v>
      </c>
      <c r="I1232">
        <f>Clothing!I444</f>
        <v>1</v>
      </c>
      <c r="J1232">
        <f>Clothing!J444</f>
        <v>2</v>
      </c>
      <c r="K1232">
        <f>Clothing!K444</f>
        <v>1</v>
      </c>
      <c r="L1232">
        <f>Clothing!L444</f>
        <v>2</v>
      </c>
      <c r="M1232">
        <f>Clothing!M444</f>
        <v>3</v>
      </c>
      <c r="N1232">
        <f t="shared" si="91"/>
        <v>1.0242794655813865</v>
      </c>
      <c r="O1232">
        <f t="shared" si="92"/>
        <v>1.0248662490928169</v>
      </c>
    </row>
    <row r="1233" spans="1:15" customFormat="1" hidden="1">
      <c r="A1233" t="str">
        <f>Clothing!A445</f>
        <v>Clothing (product sector)</v>
      </c>
      <c r="B1233" t="str">
        <f>Clothing!B445</f>
        <v>Open-toed shoes</v>
      </c>
      <c r="C1233" t="str">
        <f>Clothing!C445</f>
        <v>EU</v>
      </c>
      <c r="D1233" t="str">
        <f>Clothing!D445</f>
        <v>PVC</v>
      </c>
      <c r="E1233">
        <f>Clothing!E445</f>
        <v>0.14281593000000001</v>
      </c>
      <c r="F1233">
        <f>Clothing!F445</f>
        <v>1</v>
      </c>
      <c r="G1233" t="str">
        <f>Clothing!G445</f>
        <v>https://eeb.org/library/draft-product-environmental-footprint-category-rules-pefcr-apparel-and-footwear/</v>
      </c>
      <c r="H1233">
        <f>Clothing!H445</f>
        <v>0</v>
      </c>
      <c r="I1233">
        <f>Clothing!I445</f>
        <v>1</v>
      </c>
      <c r="J1233">
        <f>Clothing!J445</f>
        <v>2</v>
      </c>
      <c r="K1233">
        <f>Clothing!K445</f>
        <v>1</v>
      </c>
      <c r="L1233">
        <f>Clothing!L445</f>
        <v>2</v>
      </c>
      <c r="M1233">
        <f>Clothing!M445</f>
        <v>3</v>
      </c>
      <c r="N1233">
        <f t="shared" si="91"/>
        <v>1.0242794655813865</v>
      </c>
      <c r="O1233">
        <f t="shared" si="92"/>
        <v>1.0248662490928169</v>
      </c>
    </row>
    <row r="1234" spans="1:15" customFormat="1" hidden="1">
      <c r="A1234" t="str">
        <f>Clothing!A446</f>
        <v>Clothing (product sector)</v>
      </c>
      <c r="B1234" t="str">
        <f>Clothing!B446</f>
        <v>Open-toed shoes</v>
      </c>
      <c r="C1234" t="str">
        <f>Clothing!C446</f>
        <v>EU</v>
      </c>
      <c r="D1234" t="str">
        <f>Clothing!D446</f>
        <v>RUBBER</v>
      </c>
      <c r="E1234">
        <f>Clothing!E446</f>
        <v>0.237431854</v>
      </c>
      <c r="F1234">
        <f>Clothing!F446</f>
        <v>1</v>
      </c>
      <c r="G1234" t="str">
        <f>Clothing!G446</f>
        <v>https://eeb.org/library/draft-product-environmental-footprint-category-rules-pefcr-apparel-and-footwear/</v>
      </c>
      <c r="H1234">
        <f>Clothing!H446</f>
        <v>0</v>
      </c>
      <c r="I1234">
        <f>Clothing!I446</f>
        <v>1</v>
      </c>
      <c r="J1234">
        <f>Clothing!J446</f>
        <v>2</v>
      </c>
      <c r="K1234">
        <f>Clothing!K446</f>
        <v>1</v>
      </c>
      <c r="L1234">
        <f>Clothing!L446</f>
        <v>2</v>
      </c>
      <c r="M1234">
        <f>Clothing!M446</f>
        <v>3</v>
      </c>
      <c r="N1234">
        <f t="shared" si="91"/>
        <v>1.0242794655813865</v>
      </c>
      <c r="O1234">
        <f t="shared" si="92"/>
        <v>1.0248662490928169</v>
      </c>
    </row>
    <row r="1235" spans="1:15" customFormat="1" hidden="1">
      <c r="A1235" t="str">
        <f>Clothing!A447</f>
        <v>Clothing (product sector)</v>
      </c>
      <c r="B1235" t="str">
        <f>Clothing!B447</f>
        <v>Pants and shorts</v>
      </c>
      <c r="C1235" t="str">
        <f>Clothing!C447</f>
        <v>EU</v>
      </c>
      <c r="D1235" t="str">
        <f>Clothing!D447</f>
        <v>Acryl</v>
      </c>
      <c r="E1235">
        <f>Clothing!E447</f>
        <v>0</v>
      </c>
      <c r="F1235">
        <f>Clothing!F447</f>
        <v>1</v>
      </c>
      <c r="G1235" t="str">
        <f>Clothing!G447</f>
        <v>https://eeb.org/library/draft-product-environmental-footprint-category-rules-pefcr-apparel-and-footwear/</v>
      </c>
      <c r="H1235">
        <f>Clothing!H447</f>
        <v>0</v>
      </c>
      <c r="I1235">
        <f>Clothing!I447</f>
        <v>1</v>
      </c>
      <c r="J1235">
        <f>Clothing!J447</f>
        <v>2</v>
      </c>
      <c r="K1235">
        <f>Clothing!K447</f>
        <v>1</v>
      </c>
      <c r="L1235">
        <f>Clothing!L447</f>
        <v>2</v>
      </c>
      <c r="M1235">
        <f>Clothing!M447</f>
        <v>3</v>
      </c>
      <c r="N1235">
        <f t="shared" si="91"/>
        <v>1.0242794655813865</v>
      </c>
      <c r="O1235">
        <f t="shared" si="92"/>
        <v>1.0248662490928169</v>
      </c>
    </row>
    <row r="1236" spans="1:15" customFormat="1" hidden="1">
      <c r="A1236" t="str">
        <f>Clothing!A448</f>
        <v>Clothing (product sector)</v>
      </c>
      <c r="B1236" t="str">
        <f>Clothing!B448</f>
        <v>Pants and shorts</v>
      </c>
      <c r="C1236" t="str">
        <f>Clothing!C448</f>
        <v>EU</v>
      </c>
      <c r="D1236" t="str">
        <f>Clothing!D448</f>
        <v>OTHER</v>
      </c>
      <c r="E1236">
        <f>Clothing!E448</f>
        <v>0.198529969</v>
      </c>
      <c r="F1236">
        <f>Clothing!F448</f>
        <v>1</v>
      </c>
      <c r="G1236" t="str">
        <f>Clothing!G448</f>
        <v>https://eeb.org/library/draft-product-environmental-footprint-category-rules-pefcr-apparel-and-footwear/</v>
      </c>
      <c r="H1236">
        <f>Clothing!H448</f>
        <v>0</v>
      </c>
      <c r="I1236">
        <f>Clothing!I448</f>
        <v>1</v>
      </c>
      <c r="J1236">
        <f>Clothing!J448</f>
        <v>2</v>
      </c>
      <c r="K1236">
        <f>Clothing!K448</f>
        <v>1</v>
      </c>
      <c r="L1236">
        <f>Clothing!L448</f>
        <v>2</v>
      </c>
      <c r="M1236">
        <f>Clothing!M448</f>
        <v>3</v>
      </c>
      <c r="N1236">
        <f t="shared" si="91"/>
        <v>1.0242794655813865</v>
      </c>
      <c r="O1236">
        <f t="shared" si="92"/>
        <v>1.0248662490928169</v>
      </c>
    </row>
    <row r="1237" spans="1:15" customFormat="1" hidden="1">
      <c r="A1237" t="str">
        <f>Clothing!A449</f>
        <v>Clothing (product sector)</v>
      </c>
      <c r="B1237" t="str">
        <f>Clothing!B449</f>
        <v>Pants and shorts</v>
      </c>
      <c r="C1237" t="str">
        <f>Clothing!C449</f>
        <v>EU</v>
      </c>
      <c r="D1237" t="str">
        <f>Clothing!D449</f>
        <v>PA</v>
      </c>
      <c r="E1237">
        <f>Clothing!E449</f>
        <v>0.259928045</v>
      </c>
      <c r="F1237">
        <f>Clothing!F449</f>
        <v>1</v>
      </c>
      <c r="G1237" t="str">
        <f>Clothing!G449</f>
        <v>https://eeb.org/library/draft-product-environmental-footprint-category-rules-pefcr-apparel-and-footwear/</v>
      </c>
      <c r="H1237">
        <f>Clothing!H449</f>
        <v>0</v>
      </c>
      <c r="I1237">
        <f>Clothing!I449</f>
        <v>1</v>
      </c>
      <c r="J1237">
        <f>Clothing!J449</f>
        <v>2</v>
      </c>
      <c r="K1237">
        <f>Clothing!K449</f>
        <v>1</v>
      </c>
      <c r="L1237">
        <f>Clothing!L449</f>
        <v>2</v>
      </c>
      <c r="M1237">
        <f>Clothing!M449</f>
        <v>3</v>
      </c>
      <c r="N1237">
        <f t="shared" si="91"/>
        <v>1.0242794655813865</v>
      </c>
      <c r="O1237">
        <f t="shared" si="92"/>
        <v>1.0248662490928169</v>
      </c>
    </row>
    <row r="1238" spans="1:15" customFormat="1" hidden="1">
      <c r="A1238" t="str">
        <f>Clothing!A450</f>
        <v>Clothing (product sector)</v>
      </c>
      <c r="B1238" t="str">
        <f>Clothing!B450</f>
        <v>Pants and shorts</v>
      </c>
      <c r="C1238" t="str">
        <f>Clothing!C450</f>
        <v>EU</v>
      </c>
      <c r="D1238" t="str">
        <f>Clothing!D450</f>
        <v>PET</v>
      </c>
      <c r="E1238">
        <f>Clothing!E450</f>
        <v>0.264543421</v>
      </c>
      <c r="F1238">
        <f>Clothing!F450</f>
        <v>1</v>
      </c>
      <c r="G1238" t="str">
        <f>Clothing!G450</f>
        <v>https://eeb.org/library/draft-product-environmental-footprint-category-rules-pefcr-apparel-and-footwear/</v>
      </c>
      <c r="H1238">
        <f>Clothing!H450</f>
        <v>0</v>
      </c>
      <c r="I1238">
        <f>Clothing!I450</f>
        <v>1</v>
      </c>
      <c r="J1238">
        <f>Clothing!J450</f>
        <v>2</v>
      </c>
      <c r="K1238">
        <f>Clothing!K450</f>
        <v>1</v>
      </c>
      <c r="L1238">
        <f>Clothing!L450</f>
        <v>2</v>
      </c>
      <c r="M1238">
        <f>Clothing!M450</f>
        <v>3</v>
      </c>
      <c r="N1238">
        <f t="shared" si="91"/>
        <v>1.0242794655813865</v>
      </c>
      <c r="O1238">
        <f t="shared" si="92"/>
        <v>1.0248662490928169</v>
      </c>
    </row>
    <row r="1239" spans="1:15" customFormat="1" hidden="1">
      <c r="A1239" t="str">
        <f>Clothing!A451</f>
        <v>Clothing (product sector)</v>
      </c>
      <c r="B1239" t="str">
        <f>Clothing!B451</f>
        <v>Shirts and blouses</v>
      </c>
      <c r="C1239" t="str">
        <f>Clothing!C451</f>
        <v>EU</v>
      </c>
      <c r="D1239" t="str">
        <f>Clothing!D451</f>
        <v>Acryl</v>
      </c>
      <c r="E1239">
        <f>Clothing!E451</f>
        <v>0</v>
      </c>
      <c r="F1239">
        <f>Clothing!F451</f>
        <v>1</v>
      </c>
      <c r="G1239" t="str">
        <f>Clothing!G451</f>
        <v>https://eeb.org/library/draft-product-environmental-footprint-category-rules-pefcr-apparel-and-footwear/</v>
      </c>
      <c r="H1239">
        <f>Clothing!H451</f>
        <v>0</v>
      </c>
      <c r="I1239">
        <f>Clothing!I451</f>
        <v>1</v>
      </c>
      <c r="J1239">
        <f>Clothing!J451</f>
        <v>2</v>
      </c>
      <c r="K1239">
        <f>Clothing!K451</f>
        <v>1</v>
      </c>
      <c r="L1239">
        <f>Clothing!L451</f>
        <v>2</v>
      </c>
      <c r="M1239">
        <f>Clothing!M451</f>
        <v>3</v>
      </c>
      <c r="N1239">
        <f t="shared" si="91"/>
        <v>1.0242794655813865</v>
      </c>
      <c r="O1239">
        <f t="shared" si="92"/>
        <v>1.0248662490928169</v>
      </c>
    </row>
    <row r="1240" spans="1:15" customFormat="1" hidden="1">
      <c r="A1240" t="str">
        <f>Clothing!A452</f>
        <v>Clothing (product sector)</v>
      </c>
      <c r="B1240" t="str">
        <f>Clothing!B452</f>
        <v>Shirts and blouses</v>
      </c>
      <c r="C1240" t="str">
        <f>Clothing!C452</f>
        <v>EU</v>
      </c>
      <c r="D1240" t="str">
        <f>Clothing!D452</f>
        <v>OTHER</v>
      </c>
      <c r="E1240">
        <f>Clothing!E452</f>
        <v>2.3902979999999999E-3</v>
      </c>
      <c r="F1240">
        <f>Clothing!F452</f>
        <v>1</v>
      </c>
      <c r="G1240" t="str">
        <f>Clothing!G452</f>
        <v>https://eeb.org/library/draft-product-environmental-footprint-category-rules-pefcr-apparel-and-footwear/</v>
      </c>
      <c r="H1240">
        <f>Clothing!H452</f>
        <v>0</v>
      </c>
      <c r="I1240">
        <f>Clothing!I452</f>
        <v>1</v>
      </c>
      <c r="J1240">
        <f>Clothing!J452</f>
        <v>2</v>
      </c>
      <c r="K1240">
        <f>Clothing!K452</f>
        <v>1</v>
      </c>
      <c r="L1240">
        <f>Clothing!L452</f>
        <v>2</v>
      </c>
      <c r="M1240">
        <f>Clothing!M452</f>
        <v>3</v>
      </c>
      <c r="N1240">
        <f t="shared" si="91"/>
        <v>1.0242794655813865</v>
      </c>
      <c r="O1240">
        <f t="shared" si="92"/>
        <v>1.0248662490928169</v>
      </c>
    </row>
    <row r="1241" spans="1:15" customFormat="1" hidden="1">
      <c r="A1241" t="str">
        <f>Clothing!A453</f>
        <v>Clothing (product sector)</v>
      </c>
      <c r="B1241" t="str">
        <f>Clothing!B453</f>
        <v>Shirts and blouses</v>
      </c>
      <c r="C1241" t="str">
        <f>Clothing!C453</f>
        <v>EU</v>
      </c>
      <c r="D1241" t="str">
        <f>Clothing!D453</f>
        <v>PA</v>
      </c>
      <c r="E1241">
        <f>Clothing!E453</f>
        <v>0</v>
      </c>
      <c r="F1241">
        <f>Clothing!F453</f>
        <v>1</v>
      </c>
      <c r="G1241" t="str">
        <f>Clothing!G453</f>
        <v>https://eeb.org/library/draft-product-environmental-footprint-category-rules-pefcr-apparel-and-footwear/</v>
      </c>
      <c r="H1241">
        <f>Clothing!H453</f>
        <v>0</v>
      </c>
      <c r="I1241">
        <f>Clothing!I453</f>
        <v>1</v>
      </c>
      <c r="J1241">
        <f>Clothing!J453</f>
        <v>2</v>
      </c>
      <c r="K1241">
        <f>Clothing!K453</f>
        <v>1</v>
      </c>
      <c r="L1241">
        <f>Clothing!L453</f>
        <v>2</v>
      </c>
      <c r="M1241">
        <f>Clothing!M453</f>
        <v>3</v>
      </c>
      <c r="N1241">
        <f t="shared" si="91"/>
        <v>1.0242794655813865</v>
      </c>
      <c r="O1241">
        <f t="shared" si="92"/>
        <v>1.0248662490928169</v>
      </c>
    </row>
    <row r="1242" spans="1:15" customFormat="1" hidden="1">
      <c r="A1242" t="str">
        <f>Clothing!A454</f>
        <v>Clothing (product sector)</v>
      </c>
      <c r="B1242" t="str">
        <f>Clothing!B454</f>
        <v>Shirts and blouses</v>
      </c>
      <c r="C1242" t="str">
        <f>Clothing!C454</f>
        <v>EU</v>
      </c>
      <c r="D1242" t="str">
        <f>Clothing!D454</f>
        <v>PET</v>
      </c>
      <c r="E1242">
        <f>Clothing!E454</f>
        <v>4.0283916000000003E-2</v>
      </c>
      <c r="F1242">
        <f>Clothing!F454</f>
        <v>1</v>
      </c>
      <c r="G1242" t="str">
        <f>Clothing!G454</f>
        <v>https://eeb.org/library/draft-product-environmental-footprint-category-rules-pefcr-apparel-and-footwear/</v>
      </c>
      <c r="H1242">
        <f>Clothing!H454</f>
        <v>0</v>
      </c>
      <c r="I1242">
        <f>Clothing!I454</f>
        <v>1</v>
      </c>
      <c r="J1242">
        <f>Clothing!J454</f>
        <v>2</v>
      </c>
      <c r="K1242">
        <f>Clothing!K454</f>
        <v>1</v>
      </c>
      <c r="L1242">
        <f>Clothing!L454</f>
        <v>2</v>
      </c>
      <c r="M1242">
        <f>Clothing!M454</f>
        <v>3</v>
      </c>
      <c r="N1242">
        <f t="shared" si="91"/>
        <v>1.0242794655813865</v>
      </c>
      <c r="O1242">
        <f t="shared" si="92"/>
        <v>1.0248662490928169</v>
      </c>
    </row>
    <row r="1243" spans="1:15" customFormat="1" hidden="1">
      <c r="A1243" t="str">
        <f>Clothing!A455</f>
        <v>Clothing (product sector)</v>
      </c>
      <c r="B1243" t="str">
        <f>Clothing!B455</f>
        <v>Sweaters and midlayers</v>
      </c>
      <c r="C1243" t="str">
        <f>Clothing!C455</f>
        <v>EU</v>
      </c>
      <c r="D1243" t="str">
        <f>Clothing!D455</f>
        <v>Acryl</v>
      </c>
      <c r="E1243">
        <f>Clothing!E455</f>
        <v>0.25332756400000001</v>
      </c>
      <c r="F1243">
        <f>Clothing!F455</f>
        <v>1</v>
      </c>
      <c r="G1243" t="str">
        <f>Clothing!G455</f>
        <v>https://eeb.org/library/draft-product-environmental-footprint-category-rules-pefcr-apparel-and-footwear/</v>
      </c>
      <c r="H1243">
        <f>Clothing!H455</f>
        <v>0</v>
      </c>
      <c r="I1243">
        <f>Clothing!I455</f>
        <v>1</v>
      </c>
      <c r="J1243">
        <f>Clothing!J455</f>
        <v>2</v>
      </c>
      <c r="K1243">
        <f>Clothing!K455</f>
        <v>1</v>
      </c>
      <c r="L1243">
        <f>Clothing!L455</f>
        <v>2</v>
      </c>
      <c r="M1243">
        <f>Clothing!M455</f>
        <v>3</v>
      </c>
      <c r="N1243">
        <f t="shared" si="91"/>
        <v>1.0242794655813865</v>
      </c>
      <c r="O1243">
        <f t="shared" si="92"/>
        <v>1.0248662490928169</v>
      </c>
    </row>
    <row r="1244" spans="1:15" customFormat="1" hidden="1">
      <c r="A1244" t="str">
        <f>Clothing!A456</f>
        <v>Clothing (product sector)</v>
      </c>
      <c r="B1244" t="str">
        <f>Clothing!B456</f>
        <v>Sweaters and midlayers</v>
      </c>
      <c r="C1244" t="str">
        <f>Clothing!C456</f>
        <v>EU</v>
      </c>
      <c r="D1244" t="str">
        <f>Clothing!D456</f>
        <v>OTHER</v>
      </c>
      <c r="E1244">
        <f>Clothing!E456</f>
        <v>2.8701329000000001E-2</v>
      </c>
      <c r="F1244">
        <f>Clothing!F456</f>
        <v>1</v>
      </c>
      <c r="G1244" t="str">
        <f>Clothing!G456</f>
        <v>https://eeb.org/library/draft-product-environmental-footprint-category-rules-pefcr-apparel-and-footwear/</v>
      </c>
      <c r="H1244">
        <f>Clothing!H456</f>
        <v>0</v>
      </c>
      <c r="I1244">
        <f>Clothing!I456</f>
        <v>1</v>
      </c>
      <c r="J1244">
        <f>Clothing!J456</f>
        <v>2</v>
      </c>
      <c r="K1244">
        <f>Clothing!K456</f>
        <v>1</v>
      </c>
      <c r="L1244">
        <f>Clothing!L456</f>
        <v>2</v>
      </c>
      <c r="M1244">
        <f>Clothing!M456</f>
        <v>3</v>
      </c>
      <c r="N1244">
        <f t="shared" si="91"/>
        <v>1.0242794655813865</v>
      </c>
      <c r="O1244">
        <f t="shared" si="92"/>
        <v>1.0248662490928169</v>
      </c>
    </row>
    <row r="1245" spans="1:15" customFormat="1" hidden="1">
      <c r="A1245" t="str">
        <f>Clothing!A457</f>
        <v>Clothing (product sector)</v>
      </c>
      <c r="B1245" t="str">
        <f>Clothing!B457</f>
        <v>Sweaters and midlayers</v>
      </c>
      <c r="C1245" t="str">
        <f>Clothing!C457</f>
        <v>EU</v>
      </c>
      <c r="D1245" t="str">
        <f>Clothing!D457</f>
        <v>PA</v>
      </c>
      <c r="E1245">
        <f>Clothing!E457</f>
        <v>4.6882533999999997E-2</v>
      </c>
      <c r="F1245">
        <f>Clothing!F457</f>
        <v>1</v>
      </c>
      <c r="G1245" t="str">
        <f>Clothing!G457</f>
        <v>https://eeb.org/library/draft-product-environmental-footprint-category-rules-pefcr-apparel-and-footwear/</v>
      </c>
      <c r="H1245">
        <f>Clothing!H457</f>
        <v>0</v>
      </c>
      <c r="I1245">
        <f>Clothing!I457</f>
        <v>1</v>
      </c>
      <c r="J1245">
        <f>Clothing!J457</f>
        <v>2</v>
      </c>
      <c r="K1245">
        <f>Clothing!K457</f>
        <v>1</v>
      </c>
      <c r="L1245">
        <f>Clothing!L457</f>
        <v>2</v>
      </c>
      <c r="M1245">
        <f>Clothing!M457</f>
        <v>3</v>
      </c>
      <c r="N1245">
        <f t="shared" si="91"/>
        <v>1.0242794655813865</v>
      </c>
      <c r="O1245">
        <f t="shared" si="92"/>
        <v>1.0248662490928169</v>
      </c>
    </row>
    <row r="1246" spans="1:15" customFormat="1" hidden="1">
      <c r="A1246" t="str">
        <f>Clothing!A458</f>
        <v>Clothing (product sector)</v>
      </c>
      <c r="B1246" t="str">
        <f>Clothing!B458</f>
        <v>Sweaters and midlayers</v>
      </c>
      <c r="C1246" t="str">
        <f>Clothing!C458</f>
        <v>EU</v>
      </c>
      <c r="D1246" t="str">
        <f>Clothing!D458</f>
        <v>PET</v>
      </c>
      <c r="E1246">
        <f>Clothing!E458</f>
        <v>0.13012547999999999</v>
      </c>
      <c r="F1246">
        <f>Clothing!F458</f>
        <v>1</v>
      </c>
      <c r="G1246" t="str">
        <f>Clothing!G458</f>
        <v>https://eeb.org/library/draft-product-environmental-footprint-category-rules-pefcr-apparel-and-footwear/</v>
      </c>
      <c r="H1246">
        <f>Clothing!H458</f>
        <v>0</v>
      </c>
      <c r="I1246">
        <f>Clothing!I458</f>
        <v>1</v>
      </c>
      <c r="J1246">
        <f>Clothing!J458</f>
        <v>2</v>
      </c>
      <c r="K1246">
        <f>Clothing!K458</f>
        <v>1</v>
      </c>
      <c r="L1246">
        <f>Clothing!L458</f>
        <v>2</v>
      </c>
      <c r="M1246">
        <f>Clothing!M458</f>
        <v>3</v>
      </c>
      <c r="N1246">
        <f t="shared" si="91"/>
        <v>1.0242794655813865</v>
      </c>
      <c r="O1246">
        <f t="shared" si="92"/>
        <v>1.0248662490928169</v>
      </c>
    </row>
    <row r="1247" spans="1:15" customFormat="1" hidden="1">
      <c r="A1247" t="str">
        <f>Clothing!A459</f>
        <v>Clothing (product sector)</v>
      </c>
      <c r="B1247" t="str">
        <f>Clothing!B459</f>
        <v>Swimwear</v>
      </c>
      <c r="C1247" t="str">
        <f>Clothing!C459</f>
        <v>EU</v>
      </c>
      <c r="D1247" t="str">
        <f>Clothing!D459</f>
        <v>Acryl</v>
      </c>
      <c r="E1247">
        <f>Clothing!E459</f>
        <v>0</v>
      </c>
      <c r="F1247">
        <f>Clothing!F459</f>
        <v>1</v>
      </c>
      <c r="G1247" t="str">
        <f>Clothing!G459</f>
        <v>https://eeb.org/library/draft-product-environmental-footprint-category-rules-pefcr-apparel-and-footwear/</v>
      </c>
      <c r="H1247">
        <f>Clothing!H459</f>
        <v>0</v>
      </c>
      <c r="I1247">
        <f>Clothing!I459</f>
        <v>1</v>
      </c>
      <c r="J1247">
        <f>Clothing!J459</f>
        <v>2</v>
      </c>
      <c r="K1247">
        <f>Clothing!K459</f>
        <v>1</v>
      </c>
      <c r="L1247">
        <f>Clothing!L459</f>
        <v>2</v>
      </c>
      <c r="M1247">
        <f>Clothing!M459</f>
        <v>3</v>
      </c>
      <c r="N1247">
        <f t="shared" si="91"/>
        <v>1.0242794655813865</v>
      </c>
      <c r="O1247">
        <f t="shared" si="92"/>
        <v>1.0248662490928169</v>
      </c>
    </row>
    <row r="1248" spans="1:15" customFormat="1" hidden="1">
      <c r="A1248" t="str">
        <f>Clothing!A460</f>
        <v>Clothing (product sector)</v>
      </c>
      <c r="B1248" t="str">
        <f>Clothing!B460</f>
        <v>Swimwear</v>
      </c>
      <c r="C1248" t="str">
        <f>Clothing!C460</f>
        <v>EU</v>
      </c>
      <c r="D1248" t="str">
        <f>Clothing!D460</f>
        <v>OTHER</v>
      </c>
      <c r="E1248">
        <f>Clothing!E460</f>
        <v>8.3290819999999998E-3</v>
      </c>
      <c r="F1248">
        <f>Clothing!F460</f>
        <v>1</v>
      </c>
      <c r="G1248" t="str">
        <f>Clothing!G460</f>
        <v>https://eeb.org/library/draft-product-environmental-footprint-category-rules-pefcr-apparel-and-footwear/</v>
      </c>
      <c r="H1248">
        <f>Clothing!H460</f>
        <v>0</v>
      </c>
      <c r="I1248">
        <f>Clothing!I460</f>
        <v>1</v>
      </c>
      <c r="J1248">
        <f>Clothing!J460</f>
        <v>2</v>
      </c>
      <c r="K1248">
        <f>Clothing!K460</f>
        <v>1</v>
      </c>
      <c r="L1248">
        <f>Clothing!L460</f>
        <v>2</v>
      </c>
      <c r="M1248">
        <f>Clothing!M460</f>
        <v>3</v>
      </c>
      <c r="N1248">
        <f t="shared" si="91"/>
        <v>1.0242794655813865</v>
      </c>
      <c r="O1248">
        <f t="shared" si="92"/>
        <v>1.0248662490928169</v>
      </c>
    </row>
    <row r="1249" spans="1:15" customFormat="1" hidden="1">
      <c r="A1249" t="str">
        <f>Clothing!A461</f>
        <v>Clothing (product sector)</v>
      </c>
      <c r="B1249" t="str">
        <f>Clothing!B461</f>
        <v>Swimwear</v>
      </c>
      <c r="C1249" t="str">
        <f>Clothing!C461</f>
        <v>EU</v>
      </c>
      <c r="D1249" t="str">
        <f>Clothing!D461</f>
        <v>PA</v>
      </c>
      <c r="E1249">
        <f>Clothing!E461</f>
        <v>3.7985432999999999E-2</v>
      </c>
      <c r="F1249">
        <f>Clothing!F461</f>
        <v>1</v>
      </c>
      <c r="G1249" t="str">
        <f>Clothing!G461</f>
        <v>https://eeb.org/library/draft-product-environmental-footprint-category-rules-pefcr-apparel-and-footwear/</v>
      </c>
      <c r="H1249">
        <f>Clothing!H461</f>
        <v>0</v>
      </c>
      <c r="I1249">
        <f>Clothing!I461</f>
        <v>1</v>
      </c>
      <c r="J1249">
        <f>Clothing!J461</f>
        <v>2</v>
      </c>
      <c r="K1249">
        <f>Clothing!K461</f>
        <v>1</v>
      </c>
      <c r="L1249">
        <f>Clothing!L461</f>
        <v>2</v>
      </c>
      <c r="M1249">
        <f>Clothing!M461</f>
        <v>3</v>
      </c>
      <c r="N1249">
        <f t="shared" si="91"/>
        <v>1.0242794655813865</v>
      </c>
      <c r="O1249">
        <f t="shared" si="92"/>
        <v>1.0248662490928169</v>
      </c>
    </row>
    <row r="1250" spans="1:15" customFormat="1" hidden="1">
      <c r="A1250" t="str">
        <f>Clothing!A462</f>
        <v>Clothing (product sector)</v>
      </c>
      <c r="B1250" t="str">
        <f>Clothing!B462</f>
        <v>Swimwear</v>
      </c>
      <c r="C1250" t="str">
        <f>Clothing!C462</f>
        <v>EU</v>
      </c>
      <c r="D1250" t="str">
        <f>Clothing!D462</f>
        <v>PET</v>
      </c>
      <c r="E1250">
        <f>Clothing!E462</f>
        <v>6.1527869999999998E-3</v>
      </c>
      <c r="F1250">
        <f>Clothing!F462</f>
        <v>1</v>
      </c>
      <c r="G1250" t="str">
        <f>Clothing!G462</f>
        <v>https://eeb.org/library/draft-product-environmental-footprint-category-rules-pefcr-apparel-and-footwear/</v>
      </c>
      <c r="H1250">
        <f>Clothing!H462</f>
        <v>0</v>
      </c>
      <c r="I1250">
        <f>Clothing!I462</f>
        <v>1</v>
      </c>
      <c r="J1250">
        <f>Clothing!J462</f>
        <v>2</v>
      </c>
      <c r="K1250">
        <f>Clothing!K462</f>
        <v>1</v>
      </c>
      <c r="L1250">
        <f>Clothing!L462</f>
        <v>2</v>
      </c>
      <c r="M1250">
        <f>Clothing!M462</f>
        <v>3</v>
      </c>
      <c r="N1250">
        <f t="shared" si="91"/>
        <v>1.0242794655813865</v>
      </c>
      <c r="O1250">
        <f t="shared" si="92"/>
        <v>1.0248662490928169</v>
      </c>
    </row>
    <row r="1251" spans="1:15" customFormat="1" hidden="1">
      <c r="A1251" t="str">
        <f>Clothing!A463</f>
        <v>Clothing (product sector)</v>
      </c>
      <c r="B1251" t="str">
        <f>Clothing!B463</f>
        <v>T-shirts</v>
      </c>
      <c r="C1251" t="str">
        <f>Clothing!C463</f>
        <v>EU</v>
      </c>
      <c r="D1251" t="str">
        <f>Clothing!D463</f>
        <v>Acryl</v>
      </c>
      <c r="E1251">
        <f>Clothing!E463</f>
        <v>0</v>
      </c>
      <c r="F1251">
        <f>Clothing!F463</f>
        <v>1</v>
      </c>
      <c r="G1251" t="str">
        <f>Clothing!G463</f>
        <v>https://eeb.org/library/draft-product-environmental-footprint-category-rules-pefcr-apparel-and-footwear/</v>
      </c>
      <c r="H1251">
        <f>Clothing!H463</f>
        <v>0</v>
      </c>
      <c r="I1251">
        <f>Clothing!I463</f>
        <v>1</v>
      </c>
      <c r="J1251">
        <f>Clothing!J463</f>
        <v>2</v>
      </c>
      <c r="K1251">
        <f>Clothing!K463</f>
        <v>1</v>
      </c>
      <c r="L1251">
        <f>Clothing!L463</f>
        <v>2</v>
      </c>
      <c r="M1251">
        <f>Clothing!M463</f>
        <v>3</v>
      </c>
      <c r="N1251">
        <f t="shared" si="91"/>
        <v>1.0242794655813865</v>
      </c>
      <c r="O1251">
        <f t="shared" si="92"/>
        <v>1.0248662490928169</v>
      </c>
    </row>
    <row r="1252" spans="1:15" customFormat="1" hidden="1">
      <c r="A1252" t="str">
        <f>Clothing!A464</f>
        <v>Clothing (product sector)</v>
      </c>
      <c r="B1252" t="str">
        <f>Clothing!B464</f>
        <v>T-shirts</v>
      </c>
      <c r="C1252" t="str">
        <f>Clothing!C464</f>
        <v>EU</v>
      </c>
      <c r="D1252" t="str">
        <f>Clothing!D464</f>
        <v>OTHER</v>
      </c>
      <c r="E1252">
        <f>Clothing!E464</f>
        <v>4.1074070000000004E-3</v>
      </c>
      <c r="F1252">
        <f>Clothing!F464</f>
        <v>1</v>
      </c>
      <c r="G1252" t="str">
        <f>Clothing!G464</f>
        <v>https://eeb.org/library/draft-product-environmental-footprint-category-rules-pefcr-apparel-and-footwear/</v>
      </c>
      <c r="H1252">
        <f>Clothing!H464</f>
        <v>0</v>
      </c>
      <c r="I1252">
        <f>Clothing!I464</f>
        <v>1</v>
      </c>
      <c r="J1252">
        <f>Clothing!J464</f>
        <v>2</v>
      </c>
      <c r="K1252">
        <f>Clothing!K464</f>
        <v>1</v>
      </c>
      <c r="L1252">
        <f>Clothing!L464</f>
        <v>2</v>
      </c>
      <c r="M1252">
        <f>Clothing!M464</f>
        <v>3</v>
      </c>
      <c r="N1252">
        <f t="shared" si="91"/>
        <v>1.0242794655813865</v>
      </c>
      <c r="O1252">
        <f t="shared" si="92"/>
        <v>1.0248662490928169</v>
      </c>
    </row>
    <row r="1253" spans="1:15" customFormat="1" hidden="1">
      <c r="A1253" t="str">
        <f>Clothing!A465</f>
        <v>Clothing (product sector)</v>
      </c>
      <c r="B1253" t="str">
        <f>Clothing!B465</f>
        <v>T-shirts</v>
      </c>
      <c r="C1253" t="str">
        <f>Clothing!C465</f>
        <v>EU</v>
      </c>
      <c r="D1253" t="str">
        <f>Clothing!D465</f>
        <v>PA</v>
      </c>
      <c r="E1253">
        <f>Clothing!E465</f>
        <v>0</v>
      </c>
      <c r="F1253">
        <f>Clothing!F465</f>
        <v>1</v>
      </c>
      <c r="G1253" t="str">
        <f>Clothing!G465</f>
        <v>https://eeb.org/library/draft-product-environmental-footprint-category-rules-pefcr-apparel-and-footwear/</v>
      </c>
      <c r="H1253">
        <f>Clothing!H465</f>
        <v>0</v>
      </c>
      <c r="I1253">
        <f>Clothing!I465</f>
        <v>1</v>
      </c>
      <c r="J1253">
        <f>Clothing!J465</f>
        <v>2</v>
      </c>
      <c r="K1253">
        <f>Clothing!K465</f>
        <v>1</v>
      </c>
      <c r="L1253">
        <f>Clothing!L465</f>
        <v>2</v>
      </c>
      <c r="M1253">
        <f>Clothing!M465</f>
        <v>3</v>
      </c>
      <c r="N1253">
        <f t="shared" si="91"/>
        <v>1.0242794655813865</v>
      </c>
      <c r="O1253">
        <f t="shared" si="92"/>
        <v>1.0248662490928169</v>
      </c>
    </row>
    <row r="1254" spans="1:15" customFormat="1" hidden="1">
      <c r="A1254" t="str">
        <f>Clothing!A466</f>
        <v>Clothing (product sector)</v>
      </c>
      <c r="B1254" t="str">
        <f>Clothing!B466</f>
        <v>T-shirts</v>
      </c>
      <c r="C1254" t="str">
        <f>Clothing!C466</f>
        <v>EU</v>
      </c>
      <c r="D1254" t="str">
        <f>Clothing!D466</f>
        <v>PET</v>
      </c>
      <c r="E1254">
        <f>Clothing!E466</f>
        <v>7.0343419000000004E-2</v>
      </c>
      <c r="F1254">
        <f>Clothing!F466</f>
        <v>1</v>
      </c>
      <c r="G1254" t="str">
        <f>Clothing!G466</f>
        <v>https://eeb.org/library/draft-product-environmental-footprint-category-rules-pefcr-apparel-and-footwear/</v>
      </c>
      <c r="H1254">
        <f>Clothing!H466</f>
        <v>0</v>
      </c>
      <c r="I1254">
        <f>Clothing!I466</f>
        <v>1</v>
      </c>
      <c r="J1254">
        <f>Clothing!J466</f>
        <v>2</v>
      </c>
      <c r="K1254">
        <f>Clothing!K466</f>
        <v>1</v>
      </c>
      <c r="L1254">
        <f>Clothing!L466</f>
        <v>2</v>
      </c>
      <c r="M1254">
        <f>Clothing!M466</f>
        <v>3</v>
      </c>
      <c r="N1254">
        <f t="shared" si="91"/>
        <v>1.0242794655813865</v>
      </c>
      <c r="O1254">
        <f t="shared" si="92"/>
        <v>1.0248662490928169</v>
      </c>
    </row>
    <row r="1255" spans="1:15" customFormat="1" hidden="1">
      <c r="A1255" t="str">
        <f>Clothing!A467</f>
        <v>Clothing (product sector)</v>
      </c>
      <c r="B1255" t="str">
        <f>Clothing!B467</f>
        <v>Underwear</v>
      </c>
      <c r="C1255" t="str">
        <f>Clothing!C467</f>
        <v>EU</v>
      </c>
      <c r="D1255" t="str">
        <f>Clothing!D467</f>
        <v>Acryl</v>
      </c>
      <c r="E1255">
        <f>Clothing!E467</f>
        <v>0</v>
      </c>
      <c r="F1255">
        <f>Clothing!F467</f>
        <v>1</v>
      </c>
      <c r="G1255" t="str">
        <f>Clothing!G467</f>
        <v>https://eeb.org/library/draft-product-environmental-footprint-category-rules-pefcr-apparel-and-footwear/</v>
      </c>
      <c r="H1255">
        <f>Clothing!H467</f>
        <v>0</v>
      </c>
      <c r="I1255">
        <f>Clothing!I467</f>
        <v>1</v>
      </c>
      <c r="J1255">
        <f>Clothing!J467</f>
        <v>2</v>
      </c>
      <c r="K1255">
        <f>Clothing!K467</f>
        <v>1</v>
      </c>
      <c r="L1255">
        <f>Clothing!L467</f>
        <v>2</v>
      </c>
      <c r="M1255">
        <f>Clothing!M467</f>
        <v>3</v>
      </c>
      <c r="N1255">
        <f t="shared" si="91"/>
        <v>1.0242794655813865</v>
      </c>
      <c r="O1255">
        <f t="shared" si="92"/>
        <v>1.0248662490928169</v>
      </c>
    </row>
    <row r="1256" spans="1:15" customFormat="1" hidden="1">
      <c r="A1256" t="str">
        <f>Clothing!A468</f>
        <v>Clothing (product sector)</v>
      </c>
      <c r="B1256" t="str">
        <f>Clothing!B468</f>
        <v>Underwear</v>
      </c>
      <c r="C1256" t="str">
        <f>Clothing!C468</f>
        <v>EU</v>
      </c>
      <c r="D1256" t="str">
        <f>Clothing!D468</f>
        <v>OTHER</v>
      </c>
      <c r="E1256">
        <f>Clothing!E468</f>
        <v>7.9507029000000007E-2</v>
      </c>
      <c r="F1256">
        <f>Clothing!F468</f>
        <v>1</v>
      </c>
      <c r="G1256" t="str">
        <f>Clothing!G468</f>
        <v>https://eeb.org/library/draft-product-environmental-footprint-category-rules-pefcr-apparel-and-footwear/</v>
      </c>
      <c r="H1256">
        <f>Clothing!H468</f>
        <v>0</v>
      </c>
      <c r="I1256">
        <f>Clothing!I468</f>
        <v>1</v>
      </c>
      <c r="J1256">
        <f>Clothing!J468</f>
        <v>2</v>
      </c>
      <c r="K1256">
        <f>Clothing!K468</f>
        <v>1</v>
      </c>
      <c r="L1256">
        <f>Clothing!L468</f>
        <v>2</v>
      </c>
      <c r="M1256">
        <f>Clothing!M468</f>
        <v>3</v>
      </c>
      <c r="N1256">
        <f t="shared" si="91"/>
        <v>1.0242794655813865</v>
      </c>
      <c r="O1256">
        <f t="shared" si="92"/>
        <v>1.0248662490928169</v>
      </c>
    </row>
    <row r="1257" spans="1:15" customFormat="1" hidden="1">
      <c r="A1257" t="str">
        <f>Clothing!A469</f>
        <v>Clothing (product sector)</v>
      </c>
      <c r="B1257" t="str">
        <f>Clothing!B469</f>
        <v>Underwear</v>
      </c>
      <c r="C1257" t="str">
        <f>Clothing!C469</f>
        <v>EU</v>
      </c>
      <c r="D1257" t="str">
        <f>Clothing!D469</f>
        <v>PA</v>
      </c>
      <c r="E1257">
        <f>Clothing!E469</f>
        <v>0.109237894</v>
      </c>
      <c r="F1257">
        <f>Clothing!F469</f>
        <v>1</v>
      </c>
      <c r="G1257" t="str">
        <f>Clothing!G469</f>
        <v>https://eeb.org/library/draft-product-environmental-footprint-category-rules-pefcr-apparel-and-footwear/</v>
      </c>
      <c r="H1257">
        <f>Clothing!H469</f>
        <v>0</v>
      </c>
      <c r="I1257">
        <f>Clothing!I469</f>
        <v>1</v>
      </c>
      <c r="J1257">
        <f>Clothing!J469</f>
        <v>2</v>
      </c>
      <c r="K1257">
        <f>Clothing!K469</f>
        <v>1</v>
      </c>
      <c r="L1257">
        <f>Clothing!L469</f>
        <v>2</v>
      </c>
      <c r="M1257">
        <f>Clothing!M469</f>
        <v>3</v>
      </c>
      <c r="N1257">
        <f t="shared" si="91"/>
        <v>1.0242794655813865</v>
      </c>
      <c r="O1257">
        <f t="shared" si="92"/>
        <v>1.0248662490928169</v>
      </c>
    </row>
    <row r="1258" spans="1:15" customFormat="1" hidden="1">
      <c r="A1258" t="str">
        <f>Clothing!A470</f>
        <v>Clothing (product sector)</v>
      </c>
      <c r="B1258" t="str">
        <f>Clothing!B470</f>
        <v>Underwear</v>
      </c>
      <c r="C1258" t="str">
        <f>Clothing!C470</f>
        <v>EU</v>
      </c>
      <c r="D1258" t="str">
        <f>Clothing!D470</f>
        <v>PET</v>
      </c>
      <c r="E1258">
        <f>Clothing!E470</f>
        <v>9.9046810000000002E-3</v>
      </c>
      <c r="F1258">
        <f>Clothing!F470</f>
        <v>1</v>
      </c>
      <c r="G1258" t="str">
        <f>Clothing!G470</f>
        <v>https://eeb.org/library/draft-product-environmental-footprint-category-rules-pefcr-apparel-and-footwear/</v>
      </c>
      <c r="H1258">
        <f>Clothing!H470</f>
        <v>0</v>
      </c>
      <c r="I1258">
        <f>Clothing!I470</f>
        <v>1</v>
      </c>
      <c r="J1258">
        <f>Clothing!J470</f>
        <v>2</v>
      </c>
      <c r="K1258">
        <f>Clothing!K470</f>
        <v>1</v>
      </c>
      <c r="L1258">
        <f>Clothing!L470</f>
        <v>2</v>
      </c>
      <c r="M1258">
        <f>Clothing!M470</f>
        <v>3</v>
      </c>
      <c r="N1258">
        <f t="shared" si="91"/>
        <v>1.0242794655813865</v>
      </c>
      <c r="O1258">
        <f t="shared" si="92"/>
        <v>1.0248662490928169</v>
      </c>
    </row>
    <row r="1259" spans="1:15" customFormat="1" hidden="1">
      <c r="A1259" t="str">
        <f>Clothing!A566</f>
        <v>Clothing washing</v>
      </c>
      <c r="B1259" t="str">
        <f>Clothing!B566</f>
        <v>Clothing washing machine (with external filter)</v>
      </c>
      <c r="C1259" t="str">
        <f>Clothing!C566</f>
        <v>any</v>
      </c>
      <c r="D1259" t="str">
        <f>Clothing!D566</f>
        <v>any</v>
      </c>
      <c r="E1259">
        <f>Clothing!E566</f>
        <v>1.470917225950783E-4</v>
      </c>
      <c r="F1259">
        <f>Clothing!F566</f>
        <v>2</v>
      </c>
      <c r="G1259" t="str">
        <f>Clothing!G566</f>
        <v>Planet care reviews</v>
      </c>
      <c r="H1259">
        <f>Clothing!H566</f>
        <v>3</v>
      </c>
      <c r="I1259">
        <f>Clothing!I566</f>
        <v>3</v>
      </c>
      <c r="J1259">
        <f>Clothing!J566</f>
        <v>3</v>
      </c>
      <c r="K1259">
        <f>Clothing!K566</f>
        <v>3</v>
      </c>
      <c r="L1259">
        <f>Clothing!L566</f>
        <v>3</v>
      </c>
      <c r="M1259">
        <f>Clothing!M566</f>
        <v>3</v>
      </c>
    </row>
    <row r="1260" spans="1:15" customFormat="1" hidden="1">
      <c r="A1260" t="str">
        <f>Clothing!A565</f>
        <v>Clothing washing</v>
      </c>
      <c r="B1260" t="str">
        <f>Clothing!B565</f>
        <v>Clothing washing machine (with external filter)</v>
      </c>
      <c r="C1260" t="str">
        <f>Clothing!C565</f>
        <v>any</v>
      </c>
      <c r="D1260" t="str">
        <f>Clothing!D565</f>
        <v>any</v>
      </c>
      <c r="E1260">
        <f>Clothing!E565</f>
        <v>1.470917225950783E-3</v>
      </c>
      <c r="F1260">
        <f>Clothing!F565</f>
        <v>2</v>
      </c>
      <c r="G1260" t="str">
        <f>Clothing!G565</f>
        <v>Planet care reviews</v>
      </c>
      <c r="H1260">
        <f>Clothing!H565</f>
        <v>3</v>
      </c>
      <c r="I1260">
        <f>Clothing!I565</f>
        <v>3</v>
      </c>
      <c r="J1260">
        <f>Clothing!J565</f>
        <v>3</v>
      </c>
      <c r="K1260">
        <f>Clothing!K565</f>
        <v>3</v>
      </c>
      <c r="L1260">
        <f>Clothing!L565</f>
        <v>3</v>
      </c>
      <c r="M1260">
        <f>Clothing!M565</f>
        <v>3</v>
      </c>
      <c r="N1260">
        <f t="shared" ref="N1260" si="93">IF( OR( ISBLANK(H1260),ISBLANK(J1260), ISBLANK(K1260), ISBLANK(L1260), ISBLANK(M1260) ), "", 1.5*SQRT(   EXP(2.21*(H1260-1)) + EXP(2.21*(J1260-1)) + EXP(2.21*(K1260-1)) + EXP(2.21*(L1260-1)) + EXP(2.21*M1260)   )/100*2.45 )</f>
        <v>1.2132328390150593</v>
      </c>
      <c r="O1260">
        <f t="shared" ref="O1260" si="94">IF( OR( ISBLANK(I1260),ISBLANK(J1260), ISBLANK(K1260), ISBLANK(L1260), ISBLANK(M1260) ), "", 1.5*SQRT( EXP(2.21*(I1260-1)) + EXP(2.21*(J1260-1)) + EXP(2.21*(K1260-1)) + EXP(2.21*(L1260-1)) + EXP(2.21*M1260)   )/100*2.45 )</f>
        <v>1.2132328390150593</v>
      </c>
    </row>
    <row r="1261" spans="1:15" customFormat="1" hidden="1">
      <c r="A1261" t="str">
        <f>Clothing!A567</f>
        <v>Clothing washing</v>
      </c>
      <c r="B1261" t="str">
        <f>Clothing!B567</f>
        <v>Clothing washing machine (without external filter)</v>
      </c>
      <c r="C1261" t="str">
        <f>Clothing!C567</f>
        <v>any</v>
      </c>
      <c r="D1261" t="str">
        <f>Clothing!D567</f>
        <v>any</v>
      </c>
      <c r="E1261" t="str">
        <f>Clothing!E567</f>
        <v>rest</v>
      </c>
      <c r="F1261">
        <f>Clothing!F567</f>
        <v>1</v>
      </c>
      <c r="G1261" t="str">
        <f>Clothing!G567</f>
        <v>Watergebruik CBS (2022)</v>
      </c>
      <c r="N1261" t="str">
        <f t="shared" ref="N1261:N1296" si="95">IF( OR( ISBLANK(H1261),ISBLANK(J1261), ISBLANK(K1261), ISBLANK(L1261), ISBLANK(M1261) ), "", 1.5*SQRT(   EXP(2.21*(H1261-1)) + EXP(2.21*(J1261-1)) + EXP(2.21*(K1261-1)) + EXP(2.21*(L1261-1)) + EXP(2.21*M1261)   )/100*2.45 )</f>
        <v/>
      </c>
      <c r="O1261" t="str">
        <f t="shared" ref="O1261:O1296" si="96">IF( OR( ISBLANK(I1261),ISBLANK(J1261), ISBLANK(K1261), ISBLANK(L1261), ISBLANK(M1261) ), "", 1.5*SQRT( EXP(2.21*(I1261-1)) + EXP(2.21*(J1261-1)) + EXP(2.21*(K1261-1)) + EXP(2.21*(L1261-1)) + EXP(2.21*M1261)   )/100*2.45 )</f>
        <v/>
      </c>
    </row>
    <row r="1262" spans="1:15" customFormat="1" hidden="1">
      <c r="A1262" t="str">
        <f>Clothing!A568</f>
        <v>Clothing washing</v>
      </c>
      <c r="B1262" t="str">
        <f>Clothing!B568</f>
        <v>Clothing washing by hand</v>
      </c>
      <c r="C1262" t="str">
        <f>Clothing!C568</f>
        <v>any</v>
      </c>
      <c r="D1262" t="str">
        <f>Clothing!D568</f>
        <v>any</v>
      </c>
      <c r="E1262">
        <f>Clothing!E568</f>
        <v>2.0000000000000018E-2</v>
      </c>
      <c r="F1262">
        <f>Clothing!F568</f>
        <v>2</v>
      </c>
      <c r="G1262" t="str">
        <f>Clothing!G568</f>
        <v>Watergebruik CBS (2022)</v>
      </c>
      <c r="H1262">
        <f>Clothing!H565</f>
        <v>3</v>
      </c>
      <c r="I1262">
        <f>Clothing!I565</f>
        <v>3</v>
      </c>
      <c r="J1262">
        <f>Clothing!J565</f>
        <v>3</v>
      </c>
      <c r="K1262">
        <f>Clothing!K565</f>
        <v>3</v>
      </c>
      <c r="L1262">
        <f>Clothing!L565</f>
        <v>3</v>
      </c>
      <c r="M1262">
        <f>Clothing!M565</f>
        <v>3</v>
      </c>
      <c r="N1262">
        <f t="shared" si="95"/>
        <v>1.2132328390150593</v>
      </c>
      <c r="O1262">
        <f t="shared" si="96"/>
        <v>1.2132328390150593</v>
      </c>
    </row>
    <row r="1263" spans="1:15" customFormat="1" hidden="1">
      <c r="A1263" t="s">
        <v>2073</v>
      </c>
      <c r="B1263" t="s">
        <v>223</v>
      </c>
      <c r="C1263" t="s">
        <v>139</v>
      </c>
      <c r="D1263" t="s">
        <v>139</v>
      </c>
      <c r="E1263">
        <v>0.08</v>
      </c>
      <c r="F1263">
        <v>2</v>
      </c>
      <c r="G1263" t="s">
        <v>2318</v>
      </c>
      <c r="H1263">
        <v>1</v>
      </c>
      <c r="I1263">
        <v>2</v>
      </c>
      <c r="J1263">
        <v>1</v>
      </c>
      <c r="K1263">
        <v>2</v>
      </c>
      <c r="L1263">
        <v>2</v>
      </c>
      <c r="M1263">
        <v>2</v>
      </c>
    </row>
    <row r="1264" spans="1:15" customFormat="1" hidden="1">
      <c r="A1264" t="s">
        <v>2073</v>
      </c>
      <c r="B1264" t="s">
        <v>223</v>
      </c>
      <c r="C1264" t="s">
        <v>139</v>
      </c>
      <c r="D1264" t="s">
        <v>139</v>
      </c>
      <c r="E1264">
        <v>0.33</v>
      </c>
      <c r="F1264">
        <v>2</v>
      </c>
      <c r="G1264" t="s">
        <v>2319</v>
      </c>
      <c r="H1264">
        <v>1</v>
      </c>
      <c r="I1264">
        <v>2</v>
      </c>
      <c r="J1264">
        <v>1</v>
      </c>
      <c r="K1264">
        <v>2</v>
      </c>
      <c r="L1264">
        <v>2</v>
      </c>
      <c r="M1264">
        <v>2</v>
      </c>
    </row>
    <row r="1265" spans="1:15" customFormat="1" hidden="1">
      <c r="A1265" t="s">
        <v>2073</v>
      </c>
      <c r="B1265" t="s">
        <v>223</v>
      </c>
      <c r="C1265" t="s">
        <v>139</v>
      </c>
      <c r="D1265" t="s">
        <v>139</v>
      </c>
      <c r="E1265">
        <v>0.89</v>
      </c>
      <c r="F1265">
        <v>2</v>
      </c>
      <c r="G1265" t="s">
        <v>2320</v>
      </c>
      <c r="H1265">
        <v>1</v>
      </c>
      <c r="I1265">
        <v>2</v>
      </c>
      <c r="J1265">
        <v>1</v>
      </c>
      <c r="K1265">
        <v>2</v>
      </c>
      <c r="L1265">
        <v>2</v>
      </c>
      <c r="M1265">
        <v>2</v>
      </c>
    </row>
    <row r="1266" spans="1:15" customFormat="1" hidden="1">
      <c r="A1266" t="str">
        <f>Clothing!A571</f>
        <v>Clothing washing machine (with external filter)</v>
      </c>
      <c r="B1266" t="str">
        <f>Clothing!B571</f>
        <v>Wastewater (micro)</v>
      </c>
      <c r="C1266" t="str">
        <f>Clothing!C571</f>
        <v>any</v>
      </c>
      <c r="D1266" t="str">
        <f>Clothing!D571</f>
        <v>any</v>
      </c>
      <c r="E1266" t="str">
        <f>Clothing!E571</f>
        <v>rest</v>
      </c>
      <c r="F1266">
        <f>Clothing!F571</f>
        <v>1</v>
      </c>
      <c r="H1266">
        <f>Clothing!H569</f>
        <v>2</v>
      </c>
      <c r="I1266">
        <f>Clothing!I569</f>
        <v>2</v>
      </c>
      <c r="J1266">
        <f>Clothing!J569</f>
        <v>2</v>
      </c>
      <c r="K1266">
        <f>Clothing!K569</f>
        <v>2</v>
      </c>
      <c r="L1266">
        <f>Clothing!L569</f>
        <v>2</v>
      </c>
      <c r="M1266">
        <f>Clothing!M569</f>
        <v>1</v>
      </c>
      <c r="N1266">
        <f t="shared" si="95"/>
        <v>0.24810627482064512</v>
      </c>
      <c r="O1266">
        <f t="shared" si="96"/>
        <v>0.24810627482064512</v>
      </c>
    </row>
    <row r="1267" spans="1:15" customFormat="1" hidden="1">
      <c r="A1267" t="str">
        <f>Clothing!A572</f>
        <v>Clothing washing machine (without external filter)</v>
      </c>
      <c r="B1267" t="str">
        <f>Clothing!B572</f>
        <v>Wastewater (micro)</v>
      </c>
      <c r="C1267" t="str">
        <f>Clothing!C572</f>
        <v>any</v>
      </c>
      <c r="D1267" t="str">
        <f>Clothing!D572</f>
        <v>any</v>
      </c>
      <c r="E1267">
        <f>Clothing!E572</f>
        <v>1</v>
      </c>
      <c r="F1267">
        <f>Clothing!F572</f>
        <v>1</v>
      </c>
      <c r="H1267">
        <f>Clothing!H570</f>
        <v>2</v>
      </c>
      <c r="I1267">
        <f>Clothing!I570</f>
        <v>2</v>
      </c>
      <c r="J1267">
        <f>Clothing!J570</f>
        <v>2</v>
      </c>
      <c r="K1267">
        <f>Clothing!K570</f>
        <v>2</v>
      </c>
      <c r="L1267">
        <f>Clothing!L570</f>
        <v>2</v>
      </c>
      <c r="M1267">
        <f>Clothing!M570</f>
        <v>1</v>
      </c>
      <c r="N1267">
        <f t="shared" si="95"/>
        <v>0.24810627482064512</v>
      </c>
      <c r="O1267">
        <f t="shared" si="96"/>
        <v>0.24810627482064512</v>
      </c>
    </row>
    <row r="1268" spans="1:15" customFormat="1" hidden="1">
      <c r="A1268" t="str">
        <f>Clothing!A573</f>
        <v>Clothing washing by hand</v>
      </c>
      <c r="B1268" t="str">
        <f>Clothing!B573</f>
        <v>Wastewater (micro)</v>
      </c>
      <c r="C1268" t="str">
        <f>Clothing!C573</f>
        <v>any</v>
      </c>
      <c r="D1268" t="str">
        <f>Clothing!D573</f>
        <v>any</v>
      </c>
      <c r="E1268">
        <f>Clothing!E573</f>
        <v>1</v>
      </c>
      <c r="F1268">
        <f>Clothing!F573</f>
        <v>1</v>
      </c>
      <c r="N1268" t="str">
        <f t="shared" si="95"/>
        <v/>
      </c>
      <c r="O1268" t="str">
        <f t="shared" si="96"/>
        <v/>
      </c>
    </row>
    <row r="1269" spans="1:15" customFormat="1" hidden="1">
      <c r="A1269" t="str">
        <f>Clothing!A576</f>
        <v>Clothing wearing</v>
      </c>
      <c r="B1269" t="str">
        <f>Clothing!B576</f>
        <v>Indoor air (micro)</v>
      </c>
      <c r="C1269" t="str">
        <f>Clothing!C576</f>
        <v>any</v>
      </c>
      <c r="D1269" t="str">
        <f>Clothing!D576</f>
        <v>any</v>
      </c>
      <c r="E1269">
        <f>Clothing!E576</f>
        <v>0.93</v>
      </c>
      <c r="F1269">
        <f>Clothing!F576</f>
        <v>2</v>
      </c>
      <c r="G1269" t="str">
        <f>Clothing!G576</f>
        <v>Kawecki and Nowack (2019)</v>
      </c>
      <c r="H1269">
        <f>Clothing!H576</f>
        <v>2</v>
      </c>
      <c r="I1269">
        <f>Clothing!I576</f>
        <v>2</v>
      </c>
      <c r="J1269">
        <f>Clothing!J576</f>
        <v>2</v>
      </c>
      <c r="K1269">
        <f>Clothing!K576</f>
        <v>1</v>
      </c>
      <c r="L1269">
        <f>Clothing!L576</f>
        <v>2</v>
      </c>
      <c r="M1269">
        <f>Clothing!M576</f>
        <v>2</v>
      </c>
      <c r="N1269">
        <f t="shared" si="95"/>
        <v>0.38795788889711302</v>
      </c>
      <c r="O1269">
        <f t="shared" si="96"/>
        <v>0.38795788889711302</v>
      </c>
    </row>
    <row r="1270" spans="1:15" customFormat="1" hidden="1">
      <c r="A1270" t="str">
        <f>Clothing!A577</f>
        <v>Clothing wearing</v>
      </c>
      <c r="B1270" t="str">
        <f>Clothing!B577</f>
        <v>Outdoor air (micro)</v>
      </c>
      <c r="C1270" t="str">
        <f>Clothing!C577</f>
        <v>any</v>
      </c>
      <c r="D1270" t="str">
        <f>Clothing!D577</f>
        <v>any</v>
      </c>
      <c r="E1270" t="str">
        <f>Clothing!E577</f>
        <v>rest</v>
      </c>
      <c r="F1270">
        <f>Clothing!F577</f>
        <v>1</v>
      </c>
      <c r="G1270" t="str">
        <f>Clothing!G577</f>
        <v>Kawecki and Nowack (2019)</v>
      </c>
      <c r="N1270" t="str">
        <f t="shared" si="95"/>
        <v/>
      </c>
      <c r="O1270" t="str">
        <f t="shared" si="96"/>
        <v/>
      </c>
    </row>
    <row r="1271" spans="1:15" customFormat="1" hidden="1">
      <c r="A1271" t="str">
        <f>Clothing!A580</f>
        <v>Clothing drying</v>
      </c>
      <c r="B1271" t="str">
        <f>Clothing!B580</f>
        <v>Clothing indoor drying</v>
      </c>
      <c r="C1271" t="str">
        <f>Clothing!C580</f>
        <v>any</v>
      </c>
      <c r="D1271" t="str">
        <f>Clothing!D580</f>
        <v>any</v>
      </c>
      <c r="E1271">
        <f>Clothing!E580</f>
        <v>0.34</v>
      </c>
      <c r="F1271">
        <f>Clothing!F580</f>
        <v>1</v>
      </c>
      <c r="G1271" t="str">
        <f>Clothing!G580</f>
        <v>Kawecki and Nowack (2019)</v>
      </c>
      <c r="H1271">
        <f>Clothing!H580</f>
        <v>2</v>
      </c>
      <c r="I1271">
        <f>Clothing!I580</f>
        <v>2</v>
      </c>
      <c r="J1271">
        <f>Clothing!J580</f>
        <v>2</v>
      </c>
      <c r="K1271">
        <f>Clothing!K580</f>
        <v>3</v>
      </c>
      <c r="L1271">
        <f>Clothing!L580</f>
        <v>1</v>
      </c>
      <c r="M1271">
        <f>Clothing!M580</f>
        <v>2</v>
      </c>
      <c r="N1271">
        <f t="shared" si="95"/>
        <v>0.50042652380814845</v>
      </c>
      <c r="O1271">
        <f t="shared" si="96"/>
        <v>0.50042652380814845</v>
      </c>
    </row>
    <row r="1272" spans="1:15" customFormat="1" hidden="1">
      <c r="A1272" t="str">
        <f>Clothing!A581</f>
        <v>Clothing drying</v>
      </c>
      <c r="B1272" t="str">
        <f>Clothing!B581</f>
        <v>Clothing outdoor drying</v>
      </c>
      <c r="C1272" t="str">
        <f>Clothing!C581</f>
        <v>any</v>
      </c>
      <c r="D1272" t="str">
        <f>Clothing!D581</f>
        <v>any</v>
      </c>
      <c r="E1272">
        <f>Clothing!E581</f>
        <v>0.34</v>
      </c>
      <c r="F1272">
        <f>Clothing!F581</f>
        <v>1</v>
      </c>
      <c r="G1272" t="str">
        <f>Clothing!G581</f>
        <v>Kawecki and Nowack (2019)</v>
      </c>
      <c r="H1272">
        <f>Clothing!H581</f>
        <v>2</v>
      </c>
      <c r="I1272">
        <f>Clothing!I581</f>
        <v>2</v>
      </c>
      <c r="J1272">
        <f>Clothing!J581</f>
        <v>2</v>
      </c>
      <c r="K1272">
        <f>Clothing!K581</f>
        <v>3</v>
      </c>
      <c r="L1272">
        <f>Clothing!L581</f>
        <v>1</v>
      </c>
      <c r="M1272">
        <f>Clothing!M581</f>
        <v>2</v>
      </c>
      <c r="N1272">
        <f t="shared" si="95"/>
        <v>0.50042652380814845</v>
      </c>
      <c r="O1272">
        <f t="shared" si="96"/>
        <v>0.50042652380814845</v>
      </c>
    </row>
    <row r="1273" spans="1:15" customFormat="1" hidden="1">
      <c r="A1273" t="str">
        <f>Clothing!A582</f>
        <v>Clothing drying</v>
      </c>
      <c r="B1273" t="str">
        <f>Clothing!B582</f>
        <v>Clothing drying VTD</v>
      </c>
      <c r="C1273" t="str">
        <f>Clothing!C582</f>
        <v>any</v>
      </c>
      <c r="D1273" t="str">
        <f>Clothing!D582</f>
        <v>any</v>
      </c>
      <c r="E1273">
        <f>Clothing!E582</f>
        <v>0.06</v>
      </c>
      <c r="F1273">
        <f>Clothing!F582</f>
        <v>2</v>
      </c>
      <c r="G1273" t="str">
        <f>Clothing!G582</f>
        <v>Combined data from CBS, RIVM, and Cummins et al. (2023)</v>
      </c>
      <c r="H1273">
        <f>Clothing!H582</f>
        <v>3</v>
      </c>
      <c r="I1273">
        <f>Clothing!I582</f>
        <v>3</v>
      </c>
      <c r="J1273">
        <f>Clothing!J582</f>
        <v>3</v>
      </c>
      <c r="K1273">
        <f>Clothing!K582</f>
        <v>3</v>
      </c>
      <c r="L1273">
        <f>Clothing!L582</f>
        <v>3</v>
      </c>
      <c r="M1273">
        <f>Clothing!M582</f>
        <v>3</v>
      </c>
      <c r="N1273">
        <f t="shared" si="95"/>
        <v>1.2132328390150593</v>
      </c>
      <c r="O1273">
        <f t="shared" si="96"/>
        <v>1.2132328390150593</v>
      </c>
    </row>
    <row r="1274" spans="1:15" customFormat="1" hidden="1">
      <c r="A1274" t="str">
        <f>Clothing!A583</f>
        <v>Clothing drying</v>
      </c>
      <c r="B1274" t="str">
        <f>Clothing!B583</f>
        <v>Clothing drying CHPTD</v>
      </c>
      <c r="C1274" t="str">
        <f>Clothing!C583</f>
        <v>any</v>
      </c>
      <c r="D1274" t="str">
        <f>Clothing!D583</f>
        <v>any</v>
      </c>
      <c r="E1274">
        <f>Clothing!E583</f>
        <v>0.1</v>
      </c>
      <c r="F1274">
        <f>Clothing!F583</f>
        <v>2</v>
      </c>
      <c r="G1274" t="str">
        <f>Clothing!G583</f>
        <v>Combined data from CBS, RIVM, and Cummins et al. (2023)</v>
      </c>
      <c r="H1274">
        <f>Clothing!H583</f>
        <v>3</v>
      </c>
      <c r="I1274">
        <f>Clothing!I583</f>
        <v>3</v>
      </c>
      <c r="J1274">
        <f>Clothing!J583</f>
        <v>3</v>
      </c>
      <c r="K1274">
        <f>Clothing!K583</f>
        <v>3</v>
      </c>
      <c r="L1274">
        <f>Clothing!L583</f>
        <v>3</v>
      </c>
      <c r="M1274">
        <f>Clothing!M583</f>
        <v>3</v>
      </c>
      <c r="N1274">
        <f t="shared" si="95"/>
        <v>1.2132328390150593</v>
      </c>
      <c r="O1274">
        <f t="shared" si="96"/>
        <v>1.2132328390150593</v>
      </c>
    </row>
    <row r="1275" spans="1:15" customFormat="1" hidden="1">
      <c r="A1275" t="str">
        <f>Clothing!A584</f>
        <v>Clothing drying</v>
      </c>
      <c r="B1275" t="str">
        <f>Clothing!B584</f>
        <v>Clothing drying CHETD</v>
      </c>
      <c r="C1275" t="str">
        <f>Clothing!C584</f>
        <v>any</v>
      </c>
      <c r="D1275" t="str">
        <f>Clothing!D584</f>
        <v>any</v>
      </c>
      <c r="E1275">
        <f>Clothing!E584</f>
        <v>0.13</v>
      </c>
      <c r="F1275">
        <f>Clothing!F584</f>
        <v>2</v>
      </c>
      <c r="G1275" t="str">
        <f>Clothing!G584</f>
        <v>Combined data from CBS, RIVM, and Cummins et al. (2023)</v>
      </c>
      <c r="H1275">
        <f>Clothing!H584</f>
        <v>3</v>
      </c>
      <c r="I1275">
        <f>Clothing!I584</f>
        <v>3</v>
      </c>
      <c r="J1275">
        <f>Clothing!J584</f>
        <v>3</v>
      </c>
      <c r="K1275">
        <f>Clothing!K584</f>
        <v>3</v>
      </c>
      <c r="L1275">
        <f>Clothing!L584</f>
        <v>3</v>
      </c>
      <c r="M1275">
        <f>Clothing!M584</f>
        <v>3</v>
      </c>
      <c r="N1275">
        <f t="shared" si="95"/>
        <v>1.2132328390150593</v>
      </c>
      <c r="O1275">
        <f t="shared" si="96"/>
        <v>1.2132328390150593</v>
      </c>
    </row>
    <row r="1276" spans="1:15" customFormat="1" hidden="1">
      <c r="A1276" t="str">
        <f>Clothing!A585</f>
        <v>Clothing drying</v>
      </c>
      <c r="B1276" t="str">
        <f>Clothing!B585</f>
        <v>Clothing washer-dryer combo</v>
      </c>
      <c r="C1276" t="str">
        <f>Clothing!C585</f>
        <v>any</v>
      </c>
      <c r="D1276" t="str">
        <f>Clothing!D585</f>
        <v>any</v>
      </c>
      <c r="E1276">
        <f>Clothing!E585</f>
        <v>0.03</v>
      </c>
      <c r="F1276">
        <f>Clothing!F585</f>
        <v>2</v>
      </c>
      <c r="G1276" t="str">
        <f>Clothing!G585</f>
        <v>Combined data from CBS, RIVM, and Cummins et al. (2023)</v>
      </c>
      <c r="H1276">
        <f>Clothing!H585</f>
        <v>3</v>
      </c>
      <c r="I1276">
        <f>Clothing!I585</f>
        <v>3</v>
      </c>
      <c r="J1276">
        <f>Clothing!J585</f>
        <v>3</v>
      </c>
      <c r="K1276">
        <f>Clothing!K585</f>
        <v>3</v>
      </c>
      <c r="L1276">
        <f>Clothing!L585</f>
        <v>3</v>
      </c>
      <c r="M1276">
        <f>Clothing!M585</f>
        <v>3</v>
      </c>
      <c r="N1276">
        <f t="shared" si="95"/>
        <v>1.2132328390150593</v>
      </c>
      <c r="O1276">
        <f t="shared" si="96"/>
        <v>1.2132328390150593</v>
      </c>
    </row>
    <row r="1277" spans="1:15" customFormat="1" hidden="1">
      <c r="A1277" t="str">
        <f>Clothing!A586</f>
        <v>Clothing indoor drying</v>
      </c>
      <c r="B1277" t="str">
        <f>Clothing!B586</f>
        <v>Indoor air (micro)</v>
      </c>
      <c r="C1277" t="str">
        <f>Clothing!C586</f>
        <v>any</v>
      </c>
      <c r="D1277" t="str">
        <f>Clothing!D586</f>
        <v>any</v>
      </c>
      <c r="E1277">
        <f>Clothing!E586</f>
        <v>0.5</v>
      </c>
      <c r="F1277">
        <f>Clothing!F586</f>
        <v>2</v>
      </c>
      <c r="G1277" t="str">
        <f>Clothing!G586</f>
        <v xml:space="preserve">Assumption Kawecki et al. 2019 (SI Table 17) </v>
      </c>
      <c r="H1277">
        <f>Clothing!H586</f>
        <v>3</v>
      </c>
      <c r="I1277">
        <f>Clothing!I586</f>
        <v>3</v>
      </c>
      <c r="J1277">
        <f>Clothing!J586</f>
        <v>3</v>
      </c>
      <c r="K1277">
        <f>Clothing!K586</f>
        <v>3</v>
      </c>
      <c r="L1277">
        <f>Clothing!L586</f>
        <v>3</v>
      </c>
      <c r="M1277">
        <f>Clothing!M586</f>
        <v>3</v>
      </c>
      <c r="N1277">
        <f t="shared" si="95"/>
        <v>1.2132328390150593</v>
      </c>
      <c r="O1277">
        <f t="shared" si="96"/>
        <v>1.2132328390150593</v>
      </c>
    </row>
    <row r="1278" spans="1:15" customFormat="1" hidden="1">
      <c r="A1278" t="str">
        <f>Clothing!A587</f>
        <v>Clothing indoor drying</v>
      </c>
      <c r="B1278" t="str">
        <f>Clothing!B587</f>
        <v>Indoor floors (micro)</v>
      </c>
      <c r="C1278" t="str">
        <f>Clothing!C587</f>
        <v>any</v>
      </c>
      <c r="D1278" t="str">
        <f>Clothing!D587</f>
        <v>any</v>
      </c>
      <c r="E1278" t="str">
        <f>Clothing!E587</f>
        <v>rest</v>
      </c>
      <c r="F1278">
        <f>Clothing!F587</f>
        <v>1</v>
      </c>
      <c r="G1278" t="str">
        <f>Clothing!G587</f>
        <v xml:space="preserve">Assumption Kawecki et al. 2019 (SI Table 17) </v>
      </c>
      <c r="N1278" t="str">
        <f t="shared" si="95"/>
        <v/>
      </c>
      <c r="O1278" t="str">
        <f t="shared" si="96"/>
        <v/>
      </c>
    </row>
    <row r="1279" spans="1:15" customFormat="1" hidden="1">
      <c r="A1279" t="str">
        <f>Clothing!A588</f>
        <v>Clothing outdoor drying</v>
      </c>
      <c r="B1279" t="str">
        <f>Clothing!B588</f>
        <v>Outdoor air (micro)</v>
      </c>
      <c r="C1279" t="str">
        <f>Clothing!C588</f>
        <v>any</v>
      </c>
      <c r="D1279" t="str">
        <f>Clothing!D588</f>
        <v>any</v>
      </c>
      <c r="E1279">
        <f>Clothing!E588</f>
        <v>0.5</v>
      </c>
      <c r="F1279">
        <f>Clothing!F588</f>
        <v>2</v>
      </c>
      <c r="G1279" t="str">
        <f>Clothing!G588</f>
        <v xml:space="preserve">Assumption Kawecki et al. 2019 (SI Table 17) </v>
      </c>
      <c r="H1279">
        <f>Clothing!H588</f>
        <v>3</v>
      </c>
      <c r="I1279">
        <f>Clothing!I588</f>
        <v>3</v>
      </c>
      <c r="J1279">
        <f>Clothing!J588</f>
        <v>3</v>
      </c>
      <c r="K1279">
        <f>Clothing!K588</f>
        <v>3</v>
      </c>
      <c r="L1279">
        <f>Clothing!L588</f>
        <v>3</v>
      </c>
      <c r="M1279">
        <f>Clothing!M588</f>
        <v>3</v>
      </c>
      <c r="N1279">
        <f t="shared" si="95"/>
        <v>1.2132328390150593</v>
      </c>
      <c r="O1279">
        <f t="shared" si="96"/>
        <v>1.2132328390150593</v>
      </c>
    </row>
    <row r="1280" spans="1:15" customFormat="1" hidden="1">
      <c r="A1280" t="str">
        <f>Clothing!A589</f>
        <v>Clothing outdoor drying</v>
      </c>
      <c r="B1280" t="str">
        <f>Clothing!B589</f>
        <v>Residential soil (micro)</v>
      </c>
      <c r="C1280" t="str">
        <f>Clothing!C589</f>
        <v>any</v>
      </c>
      <c r="D1280" t="str">
        <f>Clothing!D589</f>
        <v>any</v>
      </c>
      <c r="E1280" t="str">
        <f>Clothing!E589</f>
        <v>rest</v>
      </c>
      <c r="F1280">
        <f>Clothing!F589</f>
        <v>1</v>
      </c>
      <c r="G1280" t="str">
        <f>Clothing!G589</f>
        <v xml:space="preserve">Assumption Kawecki et al. 2019 (SI Table 17) </v>
      </c>
      <c r="N1280" t="str">
        <f t="shared" si="95"/>
        <v/>
      </c>
      <c r="O1280" t="str">
        <f t="shared" si="96"/>
        <v/>
      </c>
    </row>
    <row r="1281" spans="1:15" customFormat="1" hidden="1">
      <c r="A1281" t="str">
        <f>Clothing!A590</f>
        <v>Clothing drying VTD</v>
      </c>
      <c r="B1281" t="str">
        <f>Clothing!B590</f>
        <v>Outdoor air (micro)</v>
      </c>
      <c r="C1281" t="str">
        <f>Clothing!C590</f>
        <v>any</v>
      </c>
      <c r="D1281" t="str">
        <f>Clothing!D590</f>
        <v>any</v>
      </c>
      <c r="E1281">
        <f>Clothing!E590</f>
        <v>0.5</v>
      </c>
      <c r="F1281">
        <f>Clothing!F590</f>
        <v>2</v>
      </c>
      <c r="G1281" t="str">
        <f>Clothing!G590</f>
        <v xml:space="preserve">Assumption Kawecki et al. 2019 (SI Table 17) </v>
      </c>
      <c r="H1281">
        <f>Clothing!H590</f>
        <v>3</v>
      </c>
      <c r="I1281">
        <f>Clothing!I590</f>
        <v>3</v>
      </c>
      <c r="J1281">
        <f>Clothing!J590</f>
        <v>3</v>
      </c>
      <c r="K1281">
        <f>Clothing!K590</f>
        <v>3</v>
      </c>
      <c r="L1281">
        <f>Clothing!L590</f>
        <v>3</v>
      </c>
      <c r="M1281">
        <f>Clothing!M590</f>
        <v>3</v>
      </c>
      <c r="N1281">
        <f t="shared" si="95"/>
        <v>1.2132328390150593</v>
      </c>
      <c r="O1281">
        <f t="shared" si="96"/>
        <v>1.2132328390150593</v>
      </c>
    </row>
    <row r="1282" spans="1:15" customFormat="1" hidden="1">
      <c r="A1282" t="str">
        <f>Clothing!A591</f>
        <v>Clothing drying VTD</v>
      </c>
      <c r="B1282" t="str">
        <f>Clothing!B591</f>
        <v>Lint filter (VTD)</v>
      </c>
      <c r="C1282" t="str">
        <f>Clothing!C591</f>
        <v>any</v>
      </c>
      <c r="D1282" t="str">
        <f>Clothing!D591</f>
        <v>any</v>
      </c>
      <c r="E1282" t="str">
        <f>Clothing!E591</f>
        <v>rest</v>
      </c>
      <c r="F1282">
        <f>Clothing!F591</f>
        <v>1</v>
      </c>
      <c r="G1282" t="str">
        <f>Clothing!G591</f>
        <v xml:space="preserve">Assumption Kawecki et al. 2019 (SI Table 17) </v>
      </c>
      <c r="N1282" t="str">
        <f t="shared" si="95"/>
        <v/>
      </c>
      <c r="O1282" t="str">
        <f t="shared" si="96"/>
        <v/>
      </c>
    </row>
    <row r="1283" spans="1:15" customFormat="1" hidden="1">
      <c r="A1283" t="str">
        <f>Clothing!A592</f>
        <v>Clothing drying CHPTD</v>
      </c>
      <c r="B1283" t="str">
        <f>Clothing!B592</f>
        <v>Wastewater (micro)</v>
      </c>
      <c r="C1283" t="str">
        <f>Clothing!C592</f>
        <v>any</v>
      </c>
      <c r="D1283" t="str">
        <f>Clothing!D592</f>
        <v>any</v>
      </c>
      <c r="E1283">
        <f>Clothing!E592</f>
        <v>0.5</v>
      </c>
      <c r="F1283">
        <f>Clothing!F592</f>
        <v>2</v>
      </c>
      <c r="G1283" t="str">
        <f>Clothing!G592</f>
        <v xml:space="preserve">Assumption Kawecki et al. 2019 (SI Table 17) </v>
      </c>
      <c r="H1283">
        <f>Clothing!H592</f>
        <v>3</v>
      </c>
      <c r="I1283">
        <f>Clothing!I592</f>
        <v>3</v>
      </c>
      <c r="J1283">
        <f>Clothing!J592</f>
        <v>3</v>
      </c>
      <c r="K1283">
        <f>Clothing!K592</f>
        <v>3</v>
      </c>
      <c r="L1283">
        <f>Clothing!L592</f>
        <v>3</v>
      </c>
      <c r="M1283">
        <f>Clothing!M592</f>
        <v>3</v>
      </c>
      <c r="N1283">
        <f t="shared" si="95"/>
        <v>1.2132328390150593</v>
      </c>
      <c r="O1283">
        <f t="shared" si="96"/>
        <v>1.2132328390150593</v>
      </c>
    </row>
    <row r="1284" spans="1:15" customFormat="1" hidden="1">
      <c r="A1284" t="str">
        <f>Clothing!A593</f>
        <v>Clothing drying CHPTD</v>
      </c>
      <c r="B1284" t="str">
        <f>Clothing!B593</f>
        <v>Lint filter (CHPTD)</v>
      </c>
      <c r="C1284" t="str">
        <f>Clothing!C593</f>
        <v>any</v>
      </c>
      <c r="D1284" t="str">
        <f>Clothing!D593</f>
        <v>any</v>
      </c>
      <c r="E1284" t="str">
        <f>Clothing!E593</f>
        <v>rest</v>
      </c>
      <c r="F1284">
        <f>Clothing!F593</f>
        <v>1</v>
      </c>
      <c r="G1284" t="str">
        <f>Clothing!G593</f>
        <v xml:space="preserve">Assumption Kawecki et al. 2019 (SI Table 17) </v>
      </c>
      <c r="N1284" t="str">
        <f t="shared" si="95"/>
        <v/>
      </c>
      <c r="O1284" t="str">
        <f t="shared" si="96"/>
        <v/>
      </c>
    </row>
    <row r="1285" spans="1:15" customFormat="1" hidden="1">
      <c r="A1285" t="str">
        <f>Clothing!A594</f>
        <v>Clothing drying CHETD</v>
      </c>
      <c r="B1285" t="str">
        <f>Clothing!B594</f>
        <v>Wastewater (micro)</v>
      </c>
      <c r="C1285" t="str">
        <f>Clothing!C594</f>
        <v>any</v>
      </c>
      <c r="D1285" t="str">
        <f>Clothing!D594</f>
        <v>any</v>
      </c>
      <c r="E1285">
        <f>Clothing!E594</f>
        <v>0.5</v>
      </c>
      <c r="F1285">
        <f>Clothing!F594</f>
        <v>2</v>
      </c>
      <c r="G1285" t="str">
        <f>Clothing!G594</f>
        <v xml:space="preserve">Assumption Kawecki et al. 2019 (SI Table 17) </v>
      </c>
      <c r="H1285">
        <f>Clothing!H594</f>
        <v>3</v>
      </c>
      <c r="I1285">
        <f>Clothing!I594</f>
        <v>3</v>
      </c>
      <c r="J1285">
        <f>Clothing!J594</f>
        <v>3</v>
      </c>
      <c r="K1285">
        <f>Clothing!K594</f>
        <v>3</v>
      </c>
      <c r="L1285">
        <f>Clothing!L594</f>
        <v>3</v>
      </c>
      <c r="M1285">
        <f>Clothing!M594</f>
        <v>3</v>
      </c>
      <c r="N1285">
        <f t="shared" si="95"/>
        <v>1.2132328390150593</v>
      </c>
      <c r="O1285">
        <f t="shared" si="96"/>
        <v>1.2132328390150593</v>
      </c>
    </row>
    <row r="1286" spans="1:15" customFormat="1" hidden="1">
      <c r="A1286" t="str">
        <f>Clothing!A595</f>
        <v>Clothing drying CHETD</v>
      </c>
      <c r="B1286" t="str">
        <f>Clothing!B595</f>
        <v>Lint filter (CHETD)</v>
      </c>
      <c r="C1286" t="str">
        <f>Clothing!C595</f>
        <v>any</v>
      </c>
      <c r="D1286" t="str">
        <f>Clothing!D595</f>
        <v>any</v>
      </c>
      <c r="E1286" t="str">
        <f>Clothing!E595</f>
        <v>rest</v>
      </c>
      <c r="F1286">
        <f>Clothing!F595</f>
        <v>1</v>
      </c>
      <c r="G1286" t="str">
        <f>Clothing!G595</f>
        <v xml:space="preserve">Assumption Kawecki et al. 2019 (SI Table 17) </v>
      </c>
      <c r="N1286" t="str">
        <f t="shared" si="95"/>
        <v/>
      </c>
      <c r="O1286" t="str">
        <f t="shared" si="96"/>
        <v/>
      </c>
    </row>
    <row r="1287" spans="1:15" customFormat="1" hidden="1">
      <c r="A1287" t="str">
        <f>Clothing!A596</f>
        <v>Clothing washer-dryer combo</v>
      </c>
      <c r="B1287" t="str">
        <f>Clothing!B596</f>
        <v>Wastewater (micro)</v>
      </c>
      <c r="C1287" t="str">
        <f>Clothing!C596</f>
        <v>any</v>
      </c>
      <c r="D1287" t="str">
        <f>Clothing!D596</f>
        <v>any</v>
      </c>
      <c r="E1287">
        <f>Clothing!E596</f>
        <v>1</v>
      </c>
      <c r="F1287">
        <f>Clothing!F596</f>
        <v>1</v>
      </c>
      <c r="N1287" t="str">
        <f t="shared" si="95"/>
        <v/>
      </c>
      <c r="O1287" t="str">
        <f t="shared" si="96"/>
        <v/>
      </c>
    </row>
    <row r="1288" spans="1:15" customFormat="1" hidden="1">
      <c r="A1288" t="str">
        <f>Clothing!A597</f>
        <v>Lint filter (VTD)</v>
      </c>
      <c r="B1288" t="str">
        <f>Clothing!B597</f>
        <v>Clean lint filter by hand</v>
      </c>
      <c r="C1288" t="str">
        <f>Clothing!C597</f>
        <v>any</v>
      </c>
      <c r="D1288" t="str">
        <f>Clothing!D597</f>
        <v>any</v>
      </c>
      <c r="E1288">
        <f>Clothing!E597</f>
        <v>0.625</v>
      </c>
      <c r="F1288">
        <f>Clothing!F597</f>
        <v>2</v>
      </c>
      <c r="G1288" t="str">
        <f>Clothing!G597</f>
        <v>Based on data from Cummins et al. (2023)</v>
      </c>
      <c r="H1288">
        <f>Clothing!H597</f>
        <v>2</v>
      </c>
      <c r="I1288">
        <f>Clothing!I597</f>
        <v>2</v>
      </c>
      <c r="J1288">
        <f>Clothing!J597</f>
        <v>1</v>
      </c>
      <c r="K1288">
        <f>Clothing!K597</f>
        <v>1</v>
      </c>
      <c r="L1288">
        <f>Clothing!L597</f>
        <v>1</v>
      </c>
      <c r="M1288">
        <f>Clothing!M597</f>
        <v>1</v>
      </c>
      <c r="N1288">
        <f t="shared" si="95"/>
        <v>0.16933510251023262</v>
      </c>
      <c r="O1288">
        <f t="shared" si="96"/>
        <v>0.16933510251023262</v>
      </c>
    </row>
    <row r="1289" spans="1:15" customFormat="1" hidden="1">
      <c r="A1289" t="str">
        <f>Clothing!A598</f>
        <v>Lint filter (VTD)</v>
      </c>
      <c r="B1289" t="str">
        <f>Clothing!B598</f>
        <v>Clean lint filter under running water</v>
      </c>
      <c r="C1289" t="str">
        <f>Clothing!C598</f>
        <v>any</v>
      </c>
      <c r="D1289" t="str">
        <f>Clothing!D598</f>
        <v>any</v>
      </c>
      <c r="E1289" t="str">
        <f>Clothing!E598</f>
        <v>rest</v>
      </c>
      <c r="F1289">
        <f>Clothing!F598</f>
        <v>1</v>
      </c>
      <c r="N1289" t="str">
        <f t="shared" si="95"/>
        <v/>
      </c>
      <c r="O1289" t="str">
        <f t="shared" si="96"/>
        <v/>
      </c>
    </row>
    <row r="1290" spans="1:15" customFormat="1" hidden="1">
      <c r="A1290" t="str">
        <f>Clothing!A599</f>
        <v>Lint filter (CHPTD)</v>
      </c>
      <c r="B1290" t="str">
        <f>Clothing!B599</f>
        <v>Clean lint filter by hand</v>
      </c>
      <c r="C1290" t="str">
        <f>Clothing!C599</f>
        <v>any</v>
      </c>
      <c r="D1290" t="str">
        <f>Clothing!D599</f>
        <v>any</v>
      </c>
      <c r="E1290">
        <f>Clothing!E599</f>
        <v>0.83</v>
      </c>
      <c r="F1290">
        <f>Clothing!F599</f>
        <v>2</v>
      </c>
      <c r="G1290" t="str">
        <f>Clothing!G599</f>
        <v>Based on data from Cummins et al. (2023)</v>
      </c>
      <c r="H1290">
        <f>Clothing!H599</f>
        <v>2</v>
      </c>
      <c r="I1290">
        <f>Clothing!I599</f>
        <v>2</v>
      </c>
      <c r="J1290">
        <f>Clothing!J599</f>
        <v>1</v>
      </c>
      <c r="K1290">
        <f>Clothing!K599</f>
        <v>1</v>
      </c>
      <c r="L1290">
        <f>Clothing!L599</f>
        <v>1</v>
      </c>
      <c r="M1290">
        <f>Clothing!M599</f>
        <v>1</v>
      </c>
      <c r="N1290">
        <f t="shared" si="95"/>
        <v>0.16933510251023262</v>
      </c>
      <c r="O1290">
        <f t="shared" si="96"/>
        <v>0.16933510251023262</v>
      </c>
    </row>
    <row r="1291" spans="1:15" customFormat="1" hidden="1">
      <c r="A1291" t="str">
        <f>Clothing!A600</f>
        <v>Lint filter (CHPTD)</v>
      </c>
      <c r="B1291" t="str">
        <f>Clothing!B600</f>
        <v>Clean lint filter under running water</v>
      </c>
      <c r="C1291" t="str">
        <f>Clothing!C600</f>
        <v>any</v>
      </c>
      <c r="D1291" t="str">
        <f>Clothing!D600</f>
        <v>any</v>
      </c>
      <c r="E1291" t="str">
        <f>Clothing!E600</f>
        <v>rest</v>
      </c>
      <c r="F1291">
        <f>Clothing!F600</f>
        <v>1</v>
      </c>
      <c r="N1291" t="str">
        <f t="shared" si="95"/>
        <v/>
      </c>
      <c r="O1291" t="str">
        <f t="shared" si="96"/>
        <v/>
      </c>
    </row>
    <row r="1292" spans="1:15" customFormat="1" hidden="1">
      <c r="A1292" t="str">
        <f>Clothing!A601</f>
        <v>Lint filter (CHETD)</v>
      </c>
      <c r="B1292" t="str">
        <f>Clothing!B601</f>
        <v>Clean lint filter by hand</v>
      </c>
      <c r="C1292" t="str">
        <f>Clothing!C601</f>
        <v>any</v>
      </c>
      <c r="D1292" t="str">
        <f>Clothing!D601</f>
        <v>any</v>
      </c>
      <c r="E1292">
        <f>Clothing!E601</f>
        <v>0.67</v>
      </c>
      <c r="F1292">
        <f>Clothing!F601</f>
        <v>2</v>
      </c>
      <c r="G1292" t="str">
        <f>Clothing!G601</f>
        <v>Based on data from Cummins et al. (2023)</v>
      </c>
      <c r="H1292">
        <f>Clothing!H601</f>
        <v>2</v>
      </c>
      <c r="I1292">
        <f>Clothing!I601</f>
        <v>2</v>
      </c>
      <c r="J1292">
        <f>Clothing!J601</f>
        <v>1</v>
      </c>
      <c r="K1292">
        <f>Clothing!K601</f>
        <v>1</v>
      </c>
      <c r="L1292">
        <f>Clothing!L601</f>
        <v>1</v>
      </c>
      <c r="M1292">
        <f>Clothing!M601</f>
        <v>1</v>
      </c>
      <c r="N1292">
        <f t="shared" si="95"/>
        <v>0.16933510251023262</v>
      </c>
      <c r="O1292">
        <f t="shared" si="96"/>
        <v>0.16933510251023262</v>
      </c>
    </row>
    <row r="1293" spans="1:15" customFormat="1" hidden="1">
      <c r="A1293" t="str">
        <f>Clothing!A602</f>
        <v>Lint filter (CHETD)</v>
      </c>
      <c r="B1293" t="str">
        <f>Clothing!B602</f>
        <v>Clean lint filter under running water</v>
      </c>
      <c r="C1293" t="str">
        <f>Clothing!C602</f>
        <v>any</v>
      </c>
      <c r="D1293" t="str">
        <f>Clothing!D602</f>
        <v>any</v>
      </c>
      <c r="E1293" t="str">
        <f>Clothing!E602</f>
        <v>rest</v>
      </c>
      <c r="F1293">
        <f>Clothing!F602</f>
        <v>1</v>
      </c>
      <c r="N1293" t="str">
        <f t="shared" si="95"/>
        <v/>
      </c>
      <c r="O1293" t="str">
        <f t="shared" si="96"/>
        <v/>
      </c>
    </row>
    <row r="1294" spans="1:15" customFormat="1" hidden="1">
      <c r="A1294" t="str">
        <f>Clothing!A603</f>
        <v>Clean lint filter by hand</v>
      </c>
      <c r="B1294" t="str">
        <f>Clothing!B603</f>
        <v>Indoor air (micro)</v>
      </c>
      <c r="C1294" t="str">
        <f>Clothing!C603</f>
        <v>any</v>
      </c>
      <c r="D1294" t="str">
        <f>Clothing!D603</f>
        <v>any</v>
      </c>
      <c r="E1294">
        <f>Clothing!E603</f>
        <v>0.01</v>
      </c>
      <c r="F1294">
        <f>Clothing!F603</f>
        <v>2</v>
      </c>
      <c r="G1294" t="str">
        <f>Clothing!G603</f>
        <v>Kawecki &amp; Nowack (2019)</v>
      </c>
      <c r="H1294">
        <f>Clothing!H603</f>
        <v>3</v>
      </c>
      <c r="I1294">
        <f>Clothing!I603</f>
        <v>3</v>
      </c>
      <c r="J1294">
        <f>Clothing!J603</f>
        <v>3</v>
      </c>
      <c r="K1294">
        <f>Clothing!K603</f>
        <v>3</v>
      </c>
      <c r="L1294">
        <f>Clothing!L603</f>
        <v>3</v>
      </c>
      <c r="M1294">
        <f>Clothing!M603</f>
        <v>3</v>
      </c>
      <c r="N1294">
        <f t="shared" si="95"/>
        <v>1.2132328390150593</v>
      </c>
      <c r="O1294">
        <f t="shared" si="96"/>
        <v>1.2132328390150593</v>
      </c>
    </row>
    <row r="1295" spans="1:15" customFormat="1" hidden="1">
      <c r="A1295" t="str">
        <f>Clothing!A604</f>
        <v>Clean lint filter by hand</v>
      </c>
      <c r="B1295" t="str">
        <f>Clothing!B604</f>
        <v>Mixed waste collection</v>
      </c>
      <c r="C1295" t="str">
        <f>Clothing!C604</f>
        <v>any</v>
      </c>
      <c r="D1295" t="str">
        <f>Clothing!D604</f>
        <v>any</v>
      </c>
      <c r="E1295" t="str">
        <f>Clothing!E604</f>
        <v>rest</v>
      </c>
      <c r="F1295">
        <f>Clothing!F604</f>
        <v>1</v>
      </c>
      <c r="N1295" t="str">
        <f t="shared" si="95"/>
        <v/>
      </c>
      <c r="O1295" t="str">
        <f t="shared" si="96"/>
        <v/>
      </c>
    </row>
    <row r="1296" spans="1:15" customFormat="1" hidden="1">
      <c r="A1296" t="str">
        <f>Clothing!A605</f>
        <v>Clean lint filter under running water</v>
      </c>
      <c r="B1296" t="str">
        <f>Clothing!B605</f>
        <v>Indoor air (micro)</v>
      </c>
      <c r="C1296" t="str">
        <f>Clothing!C605</f>
        <v>any</v>
      </c>
      <c r="D1296" t="str">
        <f>Clothing!D605</f>
        <v>any</v>
      </c>
      <c r="E1296">
        <f>Clothing!E605</f>
        <v>0.01</v>
      </c>
      <c r="F1296">
        <f>Clothing!F605</f>
        <v>2</v>
      </c>
      <c r="G1296" t="str">
        <f>Clothing!G605</f>
        <v>Kawecki &amp; Nowack (2019)</v>
      </c>
      <c r="H1296">
        <f>Clothing!H605</f>
        <v>3</v>
      </c>
      <c r="I1296">
        <f>Clothing!I605</f>
        <v>3</v>
      </c>
      <c r="J1296">
        <f>Clothing!J605</f>
        <v>3</v>
      </c>
      <c r="K1296">
        <f>Clothing!K605</f>
        <v>3</v>
      </c>
      <c r="L1296">
        <f>Clothing!L605</f>
        <v>3</v>
      </c>
      <c r="M1296">
        <f>Clothing!M605</f>
        <v>3</v>
      </c>
      <c r="N1296">
        <f t="shared" si="95"/>
        <v>1.2132328390150593</v>
      </c>
      <c r="O1296">
        <f t="shared" si="96"/>
        <v>1.2132328390150593</v>
      </c>
    </row>
    <row r="1297" spans="1:15" customFormat="1" hidden="1">
      <c r="A1297" t="str">
        <f>Clothing!A606</f>
        <v>Clean lint filter under running water</v>
      </c>
      <c r="B1297" t="str">
        <f>Clothing!B606</f>
        <v>Wastewater (micro)</v>
      </c>
      <c r="C1297" t="str">
        <f>Clothing!C606</f>
        <v>any</v>
      </c>
      <c r="D1297" t="str">
        <f>Clothing!D606</f>
        <v>any</v>
      </c>
      <c r="E1297" t="str">
        <f>Clothing!E606</f>
        <v>rest</v>
      </c>
      <c r="F1297">
        <f>Clothing!F606</f>
        <v>1</v>
      </c>
      <c r="N1297" t="str">
        <f t="shared" ref="N1297:N1316" si="97">IF( OR( ISBLANK(H1297),ISBLANK(J1297), ISBLANK(K1297), ISBLANK(L1297), ISBLANK(M1297) ), "", 1.5*SQRT(   EXP(2.21*(H1297-1)) + EXP(2.21*(J1297-1)) + EXP(2.21*(K1297-1)) + EXP(2.21*(L1297-1)) + EXP(2.21*M1297)   )/100*2.45 )</f>
        <v/>
      </c>
      <c r="O1297" t="str">
        <f t="shared" ref="O1297:O1316" si="98">IF( OR( ISBLANK(I1297),ISBLANK(J1297), ISBLANK(K1297), ISBLANK(L1297), ISBLANK(M1297) ), "", 1.5*SQRT( EXP(2.21*(I1297-1)) + EXP(2.21*(J1297-1)) + EXP(2.21*(K1297-1)) + EXP(2.21*(L1297-1)) + EXP(2.21*M1297)   )/100*2.45 )</f>
        <v/>
      </c>
    </row>
    <row r="1298" spans="1:15" customFormat="1" hidden="1">
      <c r="A1298" t="str">
        <f>Clothing!A609</f>
        <v>Footwear wearing (soles)</v>
      </c>
      <c r="B1298" t="str">
        <f>Clothing!B609</f>
        <v>Indoor floors (micro)</v>
      </c>
      <c r="C1298" t="str">
        <f>Clothing!C609</f>
        <v>any</v>
      </c>
      <c r="D1298" t="str">
        <f>Clothing!D609</f>
        <v>any</v>
      </c>
      <c r="E1298" t="str">
        <f>Clothing!E609</f>
        <v>rest</v>
      </c>
      <c r="F1298">
        <f>Clothing!F609</f>
        <v>1</v>
      </c>
      <c r="G1298" t="str">
        <f>Clothing!G609</f>
        <v>Assumption: 30% of the wearing of shoes happens inside, rest outside</v>
      </c>
      <c r="N1298" t="str">
        <f t="shared" si="97"/>
        <v/>
      </c>
      <c r="O1298" t="str">
        <f t="shared" si="98"/>
        <v/>
      </c>
    </row>
    <row r="1299" spans="1:15" customFormat="1" hidden="1">
      <c r="A1299" t="str">
        <f>Clothing!A610</f>
        <v>Footwear wearing (soles)</v>
      </c>
      <c r="B1299" t="str">
        <f>Clothing!B610</f>
        <v>Natural soil (micro)</v>
      </c>
      <c r="C1299" t="str">
        <f>Clothing!C610</f>
        <v>any</v>
      </c>
      <c r="D1299" t="str">
        <f>Clothing!D610</f>
        <v>any</v>
      </c>
      <c r="E1299">
        <f>Clothing!E610</f>
        <v>0.1</v>
      </c>
      <c r="F1299">
        <f>Clothing!F610</f>
        <v>2</v>
      </c>
      <c r="G1299" t="str">
        <f>Clothing!G610</f>
        <v>Assumption: 10% of the wearing of shoes happens in nature</v>
      </c>
      <c r="H1299">
        <f>Clothing!H610</f>
        <v>3</v>
      </c>
      <c r="I1299">
        <f>Clothing!I610</f>
        <v>3</v>
      </c>
      <c r="J1299">
        <f>Clothing!J610</f>
        <v>3</v>
      </c>
      <c r="K1299">
        <f>Clothing!K610</f>
        <v>3</v>
      </c>
      <c r="L1299">
        <f>Clothing!L610</f>
        <v>3</v>
      </c>
      <c r="M1299">
        <f>Clothing!M610</f>
        <v>3</v>
      </c>
      <c r="N1299">
        <f t="shared" si="97"/>
        <v>1.2132328390150593</v>
      </c>
      <c r="O1299">
        <f t="shared" si="98"/>
        <v>1.2132328390150593</v>
      </c>
    </row>
    <row r="1300" spans="1:15" customFormat="1" hidden="1">
      <c r="A1300" t="str">
        <f>Clothing!A611</f>
        <v>Footwear wearing (soles)</v>
      </c>
      <c r="B1300" t="str">
        <f>Clothing!B611</f>
        <v>Urban roads</v>
      </c>
      <c r="C1300" t="str">
        <f>Clothing!C611</f>
        <v>any</v>
      </c>
      <c r="D1300" t="str">
        <f>Clothing!D611</f>
        <v>any</v>
      </c>
      <c r="E1300">
        <f>Clothing!E611</f>
        <v>0.6</v>
      </c>
      <c r="F1300">
        <f>Clothing!F611</f>
        <v>2</v>
      </c>
      <c r="G1300" t="str">
        <f>Clothing!G611</f>
        <v>Assumption: 30% of the wearing of shoes happens inside, rest outside</v>
      </c>
      <c r="H1300">
        <f>Clothing!H611</f>
        <v>3</v>
      </c>
      <c r="I1300">
        <f>Clothing!I611</f>
        <v>3</v>
      </c>
      <c r="J1300">
        <f>Clothing!J611</f>
        <v>3</v>
      </c>
      <c r="K1300">
        <f>Clothing!K611</f>
        <v>3</v>
      </c>
      <c r="L1300">
        <f>Clothing!L611</f>
        <v>3</v>
      </c>
      <c r="M1300">
        <f>Clothing!M611</f>
        <v>3</v>
      </c>
      <c r="N1300">
        <f t="shared" si="97"/>
        <v>1.2132328390150593</v>
      </c>
      <c r="O1300">
        <f t="shared" si="98"/>
        <v>1.2132328390150593</v>
      </c>
    </row>
    <row r="1301" spans="1:15" customFormat="1" hidden="1">
      <c r="A1301" t="str">
        <f>Clothing!A613</f>
        <v>Footwear wearing (uppers)</v>
      </c>
      <c r="B1301" t="str">
        <f>Clothing!B613</f>
        <v>Indoor air (micro)</v>
      </c>
      <c r="C1301" t="str">
        <f>Clothing!C613</f>
        <v>any</v>
      </c>
      <c r="D1301" t="str">
        <f>Clothing!D613</f>
        <v>any</v>
      </c>
      <c r="E1301">
        <f>Clothing!E613</f>
        <v>0.30000000000000004</v>
      </c>
      <c r="F1301">
        <f>Clothing!F613</f>
        <v>2</v>
      </c>
      <c r="G1301" t="str">
        <f>Clothing!G613</f>
        <v>Assumption: 30% of the wearing of shoes happens inside, rest outside</v>
      </c>
      <c r="H1301">
        <f>Clothing!H613</f>
        <v>3</v>
      </c>
      <c r="I1301">
        <f>Clothing!I613</f>
        <v>3</v>
      </c>
      <c r="J1301">
        <f>Clothing!J613</f>
        <v>3</v>
      </c>
      <c r="K1301">
        <f>Clothing!K613</f>
        <v>3</v>
      </c>
      <c r="L1301">
        <f>Clothing!L613</f>
        <v>3</v>
      </c>
      <c r="M1301">
        <f>Clothing!M613</f>
        <v>3</v>
      </c>
      <c r="N1301">
        <f t="shared" si="97"/>
        <v>1.2132328390150593</v>
      </c>
      <c r="O1301">
        <f t="shared" si="98"/>
        <v>1.2132328390150593</v>
      </c>
    </row>
    <row r="1302" spans="1:15" customFormat="1" hidden="1">
      <c r="A1302" t="str">
        <f>Clothing!A614</f>
        <v>Footwear wearing (uppers)</v>
      </c>
      <c r="B1302" t="str">
        <f>Clothing!B614</f>
        <v>Outdoor air (micro)</v>
      </c>
      <c r="C1302" t="str">
        <f>Clothing!C614</f>
        <v>any</v>
      </c>
      <c r="D1302" t="str">
        <f>Clothing!D614</f>
        <v>any</v>
      </c>
      <c r="E1302" t="str">
        <f>Clothing!E614</f>
        <v>rest</v>
      </c>
      <c r="F1302">
        <f>Clothing!F614</f>
        <v>1</v>
      </c>
      <c r="G1302" t="str">
        <f>Clothing!G614</f>
        <v>Assumption: 30% of the wearing of shoes happens inside, rest outside</v>
      </c>
      <c r="N1302" t="str">
        <f t="shared" si="97"/>
        <v/>
      </c>
      <c r="O1302" t="str">
        <f t="shared" si="98"/>
        <v/>
      </c>
    </row>
    <row r="1303" spans="1:15" customFormat="1" hidden="1">
      <c r="A1303" t="str">
        <f>Clothing!A337</f>
        <v>Transport of primary plastics</v>
      </c>
      <c r="B1303" t="str">
        <f>Clothing!B337</f>
        <v>Manufacturing of clothing</v>
      </c>
      <c r="C1303" t="str">
        <f>Clothing!C337</f>
        <v>EU</v>
      </c>
      <c r="D1303" t="str">
        <f>Clothing!D337</f>
        <v>OTHER</v>
      </c>
      <c r="E1303">
        <f>Clothing!E337</f>
        <v>3.8693271202292338E-3</v>
      </c>
      <c r="F1303">
        <f>Clothing!F337</f>
        <v>2</v>
      </c>
      <c r="G1303" t="str">
        <f>Clothing!G337</f>
        <v>https://ec.europa.eu/eurostat/databrowser/view/DS-056120__custom_15192557/default/table?lang=en - Low estimate</v>
      </c>
      <c r="I1303">
        <f>Clothing!I337</f>
        <v>1</v>
      </c>
      <c r="J1303">
        <f>Clothing!J337</f>
        <v>1</v>
      </c>
      <c r="K1303">
        <f>Clothing!K337</f>
        <v>2</v>
      </c>
      <c r="L1303">
        <f>Clothing!L337</f>
        <v>2</v>
      </c>
      <c r="M1303">
        <f>Clothing!M337</f>
        <v>2</v>
      </c>
      <c r="N1303" t="str">
        <f t="shared" si="97"/>
        <v/>
      </c>
      <c r="O1303">
        <f t="shared" si="98"/>
        <v>0.37356464144298934</v>
      </c>
    </row>
    <row r="1304" spans="1:15" customFormat="1" hidden="1">
      <c r="A1304" t="str">
        <f>Clothing!A338</f>
        <v>Transport of primary plastics</v>
      </c>
      <c r="B1304" t="str">
        <f>Clothing!B338</f>
        <v>Manufacturing of clothing</v>
      </c>
      <c r="C1304" t="str">
        <f>Clothing!C338</f>
        <v>EU</v>
      </c>
      <c r="D1304" t="str">
        <f>Clothing!D338</f>
        <v>PA</v>
      </c>
      <c r="E1304">
        <f>Clothing!E338</f>
        <v>3.3558127325299704E-2</v>
      </c>
      <c r="F1304">
        <f>Clothing!F338</f>
        <v>2</v>
      </c>
      <c r="G1304" t="str">
        <f>Clothing!G338</f>
        <v>https://ec.europa.eu/eurostat/databrowser/view/DS-056120__custom_15192557/default/table?lang=en - Low estimate</v>
      </c>
      <c r="I1304">
        <f>Clothing!I338</f>
        <v>1</v>
      </c>
      <c r="J1304">
        <f>Clothing!J338</f>
        <v>1</v>
      </c>
      <c r="K1304">
        <f>Clothing!K338</f>
        <v>2</v>
      </c>
      <c r="L1304">
        <f>Clothing!L338</f>
        <v>2</v>
      </c>
      <c r="M1304">
        <f>Clothing!M338</f>
        <v>2</v>
      </c>
      <c r="N1304" t="str">
        <f t="shared" si="97"/>
        <v/>
      </c>
      <c r="O1304">
        <f t="shared" si="98"/>
        <v>0.37356464144298934</v>
      </c>
    </row>
    <row r="1305" spans="1:15" customFormat="1" hidden="1">
      <c r="A1305" t="str">
        <f>Clothing!A339</f>
        <v>Transport of primary plastics</v>
      </c>
      <c r="B1305" t="str">
        <f>Clothing!B339</f>
        <v>Manufacturing of clothing</v>
      </c>
      <c r="C1305" t="str">
        <f>Clothing!C339</f>
        <v>EU</v>
      </c>
      <c r="D1305" t="str">
        <f>Clothing!D339</f>
        <v>PET</v>
      </c>
      <c r="E1305">
        <f>Clothing!E339</f>
        <v>6.6909027236088423E-2</v>
      </c>
      <c r="F1305">
        <f>Clothing!F339</f>
        <v>2</v>
      </c>
      <c r="G1305" t="str">
        <f>Clothing!G339</f>
        <v>https://ec.europa.eu/eurostat/databrowser/view/DS-056120__custom_15192557/default/table?lang=en - Low estimate</v>
      </c>
      <c r="I1305">
        <f>Clothing!I339</f>
        <v>1</v>
      </c>
      <c r="J1305">
        <f>Clothing!J339</f>
        <v>1</v>
      </c>
      <c r="K1305">
        <f>Clothing!K339</f>
        <v>2</v>
      </c>
      <c r="L1305">
        <f>Clothing!L339</f>
        <v>2</v>
      </c>
      <c r="M1305">
        <f>Clothing!M339</f>
        <v>2</v>
      </c>
      <c r="N1305" t="str">
        <f t="shared" si="97"/>
        <v/>
      </c>
      <c r="O1305">
        <f t="shared" si="98"/>
        <v>0.37356464144298934</v>
      </c>
    </row>
    <row r="1306" spans="1:15" customFormat="1" hidden="1">
      <c r="A1306" t="str">
        <f>Clothing!A340</f>
        <v>Transport of primary plastics</v>
      </c>
      <c r="B1306" t="str">
        <f>Clothing!B340</f>
        <v>Manufacturing of clothing</v>
      </c>
      <c r="C1306" t="str">
        <f>Clothing!C340</f>
        <v>EU</v>
      </c>
      <c r="D1306" t="str">
        <f>Clothing!D340</f>
        <v>PUR</v>
      </c>
      <c r="E1306">
        <f>Clothing!E340</f>
        <v>2.2222566857895358E-2</v>
      </c>
      <c r="F1306">
        <f>Clothing!F340</f>
        <v>2</v>
      </c>
      <c r="G1306" t="str">
        <f>Clothing!G340</f>
        <v>https://ec.europa.eu/eurostat/databrowser/view/DS-056120__custom_15192557/default/table?lang=en - Low estimate</v>
      </c>
      <c r="I1306">
        <f>Clothing!I340</f>
        <v>1</v>
      </c>
      <c r="J1306">
        <f>Clothing!J340</f>
        <v>1</v>
      </c>
      <c r="K1306">
        <f>Clothing!K340</f>
        <v>2</v>
      </c>
      <c r="L1306">
        <f>Clothing!L340</f>
        <v>2</v>
      </c>
      <c r="M1306">
        <f>Clothing!M340</f>
        <v>2</v>
      </c>
      <c r="N1306" t="str">
        <f t="shared" si="97"/>
        <v/>
      </c>
      <c r="O1306">
        <f t="shared" si="98"/>
        <v>0.37356464144298934</v>
      </c>
    </row>
    <row r="1307" spans="1:15" customFormat="1" hidden="1">
      <c r="A1307" t="str">
        <f>Clothing!A341</f>
        <v>Transport of primary plastics</v>
      </c>
      <c r="B1307" t="str">
        <f>Clothing!B341</f>
        <v>Manufacturing of clothing</v>
      </c>
      <c r="C1307" t="str">
        <f>Clothing!C341</f>
        <v>EU</v>
      </c>
      <c r="D1307" t="str">
        <f>Clothing!D341</f>
        <v>PVC</v>
      </c>
      <c r="E1307">
        <f>Clothing!E341</f>
        <v>6.0053267152829484E-3</v>
      </c>
      <c r="F1307">
        <f>Clothing!F341</f>
        <v>2</v>
      </c>
      <c r="G1307" t="str">
        <f>Clothing!G341</f>
        <v>https://ec.europa.eu/eurostat/databrowser/view/DS-056120__custom_15192557/default/table?lang=en - Low estimate</v>
      </c>
      <c r="I1307">
        <f>Clothing!I341</f>
        <v>1</v>
      </c>
      <c r="J1307">
        <f>Clothing!J341</f>
        <v>1</v>
      </c>
      <c r="K1307">
        <f>Clothing!K341</f>
        <v>2</v>
      </c>
      <c r="L1307">
        <f>Clothing!L341</f>
        <v>2</v>
      </c>
      <c r="M1307">
        <f>Clothing!M341</f>
        <v>2</v>
      </c>
      <c r="N1307" t="str">
        <f t="shared" si="97"/>
        <v/>
      </c>
      <c r="O1307">
        <f t="shared" si="98"/>
        <v>0.37356464144298934</v>
      </c>
    </row>
    <row r="1308" spans="1:15" customFormat="1" hidden="1">
      <c r="A1308" t="str">
        <f>Clothing!A342</f>
        <v>Transport of primary plastics</v>
      </c>
      <c r="B1308" t="str">
        <f>Clothing!B342</f>
        <v>Manufacturing of clothing</v>
      </c>
      <c r="C1308" t="str">
        <f>Clothing!C342</f>
        <v>EU</v>
      </c>
      <c r="D1308" t="str">
        <f>Clothing!D342</f>
        <v>OTHER</v>
      </c>
      <c r="E1308">
        <f>Clothing!E342</f>
        <v>4.5701636386757368E-3</v>
      </c>
      <c r="F1308">
        <f>Clothing!F342</f>
        <v>2</v>
      </c>
      <c r="G1308" t="str">
        <f>Clothing!G342</f>
        <v>https://ec.europa.eu/eurostat/databrowser/view/DS-056120__custom_15192557/default/table?lang=en - High estimate</v>
      </c>
      <c r="I1308">
        <f>Clothing!I342</f>
        <v>1</v>
      </c>
      <c r="J1308">
        <f>Clothing!J342</f>
        <v>1</v>
      </c>
      <c r="K1308">
        <f>Clothing!K342</f>
        <v>2</v>
      </c>
      <c r="L1308">
        <f>Clothing!L342</f>
        <v>2</v>
      </c>
      <c r="M1308">
        <f>Clothing!M342</f>
        <v>2</v>
      </c>
      <c r="N1308" t="str">
        <f t="shared" si="97"/>
        <v/>
      </c>
      <c r="O1308">
        <f t="shared" si="98"/>
        <v>0.37356464144298934</v>
      </c>
    </row>
    <row r="1309" spans="1:15" customFormat="1" hidden="1">
      <c r="A1309" t="str">
        <f>Clothing!A343</f>
        <v>Transport of primary plastics</v>
      </c>
      <c r="B1309" t="str">
        <f>Clothing!B343</f>
        <v>Manufacturing of clothing</v>
      </c>
      <c r="C1309" t="str">
        <f>Clothing!C343</f>
        <v>EU</v>
      </c>
      <c r="D1309" t="str">
        <f>Clothing!D343</f>
        <v>PA</v>
      </c>
      <c r="E1309">
        <f>Clothing!E343</f>
        <v>3.9636383412072262E-2</v>
      </c>
      <c r="F1309">
        <f>Clothing!F343</f>
        <v>2</v>
      </c>
      <c r="G1309" t="str">
        <f>Clothing!G343</f>
        <v>https://ec.europa.eu/eurostat/databrowser/view/DS-056120__custom_15192557/default/table?lang=en - High estimate</v>
      </c>
      <c r="I1309">
        <f>Clothing!I343</f>
        <v>1</v>
      </c>
      <c r="J1309">
        <f>Clothing!J343</f>
        <v>1</v>
      </c>
      <c r="K1309">
        <f>Clothing!K343</f>
        <v>2</v>
      </c>
      <c r="L1309">
        <f>Clothing!L343</f>
        <v>2</v>
      </c>
      <c r="M1309">
        <f>Clothing!M343</f>
        <v>2</v>
      </c>
      <c r="N1309" t="str">
        <f t="shared" si="97"/>
        <v/>
      </c>
      <c r="O1309">
        <f t="shared" si="98"/>
        <v>0.37356464144298934</v>
      </c>
    </row>
    <row r="1310" spans="1:15" customFormat="1" hidden="1">
      <c r="A1310" t="str">
        <f>Clothing!A344</f>
        <v>Transport of primary plastics</v>
      </c>
      <c r="B1310" t="str">
        <f>Clothing!B344</f>
        <v>Manufacturing of clothing</v>
      </c>
      <c r="C1310" t="str">
        <f>Clothing!C344</f>
        <v>EU</v>
      </c>
      <c r="D1310" t="str">
        <f>Clothing!D344</f>
        <v>PET</v>
      </c>
      <c r="E1310">
        <f>Clothing!E344</f>
        <v>7.9028005095475098E-2</v>
      </c>
      <c r="F1310">
        <f>Clothing!F344</f>
        <v>2</v>
      </c>
      <c r="G1310" t="str">
        <f>Clothing!G344</f>
        <v>https://ec.europa.eu/eurostat/databrowser/view/DS-056120__custom_15192557/default/table?lang=en - High estimate</v>
      </c>
      <c r="I1310">
        <f>Clothing!I344</f>
        <v>1</v>
      </c>
      <c r="J1310">
        <f>Clothing!J344</f>
        <v>1</v>
      </c>
      <c r="K1310">
        <f>Clothing!K344</f>
        <v>2</v>
      </c>
      <c r="L1310">
        <f>Clothing!L344</f>
        <v>2</v>
      </c>
      <c r="M1310">
        <f>Clothing!M344</f>
        <v>2</v>
      </c>
      <c r="N1310" t="str">
        <f t="shared" si="97"/>
        <v/>
      </c>
      <c r="O1310">
        <f t="shared" si="98"/>
        <v>0.37356464144298934</v>
      </c>
    </row>
    <row r="1311" spans="1:15" customFormat="1" hidden="1">
      <c r="A1311" t="str">
        <f>Clothing!A345</f>
        <v>Transport of primary plastics</v>
      </c>
      <c r="B1311" t="str">
        <f>Clothing!B345</f>
        <v>Manufacturing of clothing</v>
      </c>
      <c r="C1311" t="str">
        <f>Clothing!C345</f>
        <v>EU</v>
      </c>
      <c r="D1311" t="str">
        <f>Clothing!D345</f>
        <v>PUR</v>
      </c>
      <c r="E1311">
        <f>Clothing!E345</f>
        <v>2.6247655950571849E-2</v>
      </c>
      <c r="F1311">
        <f>Clothing!F345</f>
        <v>2</v>
      </c>
      <c r="G1311" t="str">
        <f>Clothing!G345</f>
        <v>https://ec.europa.eu/eurostat/databrowser/view/DS-056120__custom_15192557/default/table?lang=en - High estimate</v>
      </c>
      <c r="I1311">
        <f>Clothing!I345</f>
        <v>1</v>
      </c>
      <c r="J1311">
        <f>Clothing!J345</f>
        <v>1</v>
      </c>
      <c r="K1311">
        <f>Clothing!K345</f>
        <v>2</v>
      </c>
      <c r="L1311">
        <f>Clothing!L345</f>
        <v>2</v>
      </c>
      <c r="M1311">
        <f>Clothing!M345</f>
        <v>2</v>
      </c>
      <c r="N1311" t="str">
        <f t="shared" si="97"/>
        <v/>
      </c>
      <c r="O1311">
        <f t="shared" si="98"/>
        <v>0.37356464144298934</v>
      </c>
    </row>
    <row r="1312" spans="1:15" customFormat="1" hidden="1">
      <c r="A1312" t="str">
        <f>Clothing!A346</f>
        <v>Transport of primary plastics</v>
      </c>
      <c r="B1312" t="str">
        <f>Clothing!B346</f>
        <v>Manufacturing of clothing</v>
      </c>
      <c r="C1312" t="str">
        <f>Clothing!C346</f>
        <v>EU</v>
      </c>
      <c r="D1312" t="str">
        <f>Clothing!D346</f>
        <v>PVC</v>
      </c>
      <c r="E1312">
        <f>Clothing!E346</f>
        <v>7.0930487239156351E-3</v>
      </c>
      <c r="F1312">
        <f>Clothing!F346</f>
        <v>2</v>
      </c>
      <c r="G1312" t="str">
        <f>Clothing!G346</f>
        <v>https://ec.europa.eu/eurostat/databrowser/view/DS-056120__custom_15192557/default/table?lang=en - High estimate</v>
      </c>
      <c r="I1312">
        <f>Clothing!I346</f>
        <v>1</v>
      </c>
      <c r="J1312">
        <f>Clothing!J346</f>
        <v>1</v>
      </c>
      <c r="K1312">
        <f>Clothing!K346</f>
        <v>2</v>
      </c>
      <c r="L1312">
        <f>Clothing!L346</f>
        <v>2</v>
      </c>
      <c r="M1312">
        <f>Clothing!M346</f>
        <v>2</v>
      </c>
      <c r="N1312" t="str">
        <f t="shared" si="97"/>
        <v/>
      </c>
      <c r="O1312">
        <f t="shared" si="98"/>
        <v>0.37356464144298934</v>
      </c>
    </row>
    <row r="1313" spans="1:15" customFormat="1" hidden="1">
      <c r="A1313" t="str">
        <f>Clothing!A474</f>
        <v>Import of clothing (Global)</v>
      </c>
      <c r="B1313" t="str">
        <f>Clothing!B474</f>
        <v>Clothing (product sector)</v>
      </c>
      <c r="C1313" t="str">
        <f>Clothing!C474</f>
        <v>any</v>
      </c>
      <c r="D1313" t="str">
        <f>Clothing!D474</f>
        <v>any</v>
      </c>
      <c r="E1313">
        <f>Clothing!E474</f>
        <v>1</v>
      </c>
      <c r="F1313">
        <f>Clothing!F474</f>
        <v>1</v>
      </c>
      <c r="G1313" t="str">
        <f>Clothing!G474</f>
        <v>Assumption</v>
      </c>
      <c r="H1313">
        <v>1</v>
      </c>
      <c r="I1313">
        <v>1</v>
      </c>
      <c r="J1313">
        <v>1</v>
      </c>
      <c r="K1313">
        <v>1</v>
      </c>
      <c r="L1313">
        <v>1</v>
      </c>
      <c r="M1313">
        <v>1</v>
      </c>
      <c r="N1313">
        <f t="shared" si="97"/>
        <v>0.13309242924026707</v>
      </c>
      <c r="O1313">
        <f t="shared" si="98"/>
        <v>0.13309242924026707</v>
      </c>
    </row>
    <row r="1314" spans="1:15" customFormat="1" hidden="1">
      <c r="A1314" t="str">
        <f>Clothing!A475</f>
        <v>Manufacturing of clothing</v>
      </c>
      <c r="B1314" t="str">
        <f>Clothing!B475</f>
        <v>Clothing (product sector)</v>
      </c>
      <c r="C1314" t="str">
        <f>Clothing!C475</f>
        <v>any</v>
      </c>
      <c r="D1314" t="str">
        <f>Clothing!D475</f>
        <v>any</v>
      </c>
      <c r="E1314" t="str">
        <f>Clothing!E475</f>
        <v>rest</v>
      </c>
      <c r="F1314">
        <f>Clothing!F475</f>
        <v>1</v>
      </c>
    </row>
    <row r="1315" spans="1:15" customFormat="1" hidden="1">
      <c r="A1315" t="str">
        <f>Clothing!A476</f>
        <v>Manufacturing of clothing</v>
      </c>
      <c r="B1315" t="str">
        <f>Clothing!B476</f>
        <v>Textile recycling</v>
      </c>
      <c r="C1315" t="str">
        <f>Clothing!C476</f>
        <v>any</v>
      </c>
      <c r="D1315" t="str">
        <f>Clothing!D476</f>
        <v>any</v>
      </c>
      <c r="E1315">
        <f>Clothing!E476</f>
        <v>0.21550000000000002</v>
      </c>
      <c r="F1315">
        <f>Clothing!F476</f>
        <v>2</v>
      </c>
      <c r="G1315" t="str">
        <f>Clothing!G476</f>
        <v>PEFCR (2021), Table 28 - woven clothing</v>
      </c>
      <c r="H1315">
        <f>Clothing!H476</f>
        <v>2</v>
      </c>
      <c r="I1315">
        <f>Clothing!I476</f>
        <v>2</v>
      </c>
      <c r="J1315">
        <f>Clothing!J476</f>
        <v>2</v>
      </c>
      <c r="K1315">
        <f>Clothing!K476</f>
        <v>3</v>
      </c>
      <c r="L1315">
        <f>Clothing!L476</f>
        <v>2</v>
      </c>
      <c r="M1315">
        <f>Clothing!M476</f>
        <v>1</v>
      </c>
      <c r="N1315">
        <f t="shared" si="97"/>
        <v>0.40183591897512122</v>
      </c>
      <c r="O1315">
        <f t="shared" si="98"/>
        <v>0.40183591897512122</v>
      </c>
    </row>
    <row r="1316" spans="1:15" customFormat="1" hidden="1">
      <c r="A1316" t="str">
        <f>Clothing!A477</f>
        <v>Manufacturing of clothing</v>
      </c>
      <c r="B1316" t="str">
        <f>Clothing!B477</f>
        <v>Textile recycling</v>
      </c>
      <c r="C1316" t="str">
        <f>Clothing!C477</f>
        <v>any</v>
      </c>
      <c r="D1316" t="str">
        <f>Clothing!D477</f>
        <v>any</v>
      </c>
      <c r="E1316">
        <f>Clothing!E477</f>
        <v>0.20610000000000001</v>
      </c>
      <c r="F1316">
        <f>Clothing!F477</f>
        <v>2</v>
      </c>
      <c r="G1316" t="str">
        <f>Clothing!G477</f>
        <v>PEFCR (2021), Table 28 - knit clothing</v>
      </c>
      <c r="H1316">
        <f>Clothing!H477</f>
        <v>2</v>
      </c>
      <c r="I1316">
        <f>Clothing!I477</f>
        <v>2</v>
      </c>
      <c r="J1316">
        <f>Clothing!J477</f>
        <v>2</v>
      </c>
      <c r="K1316">
        <f>Clothing!K477</f>
        <v>3</v>
      </c>
      <c r="L1316">
        <f>Clothing!L477</f>
        <v>2</v>
      </c>
      <c r="M1316">
        <f>Clothing!M477</f>
        <v>1</v>
      </c>
      <c r="N1316">
        <f t="shared" si="97"/>
        <v>0.40183591897512122</v>
      </c>
      <c r="O1316">
        <f t="shared" si="98"/>
        <v>0.40183591897512122</v>
      </c>
    </row>
    <row r="1317" spans="1:15" customFormat="1" hidden="1">
      <c r="A1317" t="str">
        <f>Clothing!A478</f>
        <v>Import of plastic sheets</v>
      </c>
      <c r="B1317" t="str">
        <f>Clothing!B478</f>
        <v>Manufacturing of clothing</v>
      </c>
      <c r="C1317" t="str">
        <f>Clothing!C478</f>
        <v>any</v>
      </c>
      <c r="D1317" t="str">
        <f>Clothing!D478</f>
        <v>any</v>
      </c>
      <c r="E1317">
        <f>Clothing!E478</f>
        <v>1</v>
      </c>
      <c r="F1317">
        <f>Clothing!F478</f>
        <v>1</v>
      </c>
      <c r="G1317" t="str">
        <f>Clothing!G478</f>
        <v>Assumption</v>
      </c>
      <c r="H1317">
        <v>1</v>
      </c>
      <c r="I1317">
        <v>1</v>
      </c>
      <c r="J1317">
        <v>1</v>
      </c>
      <c r="K1317">
        <v>1</v>
      </c>
      <c r="L1317">
        <v>1</v>
      </c>
      <c r="M1317">
        <v>1</v>
      </c>
      <c r="N1317">
        <f t="shared" ref="N1317" si="99">IF( OR( ISBLANK(H1317),ISBLANK(J1317), ISBLANK(K1317), ISBLANK(L1317), ISBLANK(M1317) ), "", 1.5*SQRT(   EXP(2.21*(H1317-1)) + EXP(2.21*(J1317-1)) + EXP(2.21*(K1317-1)) + EXP(2.21*(L1317-1)) + EXP(2.21*M1317)   )/100*2.45 )</f>
        <v>0.13309242924026707</v>
      </c>
      <c r="O1317">
        <f t="shared" ref="O1317" si="100">IF( OR( ISBLANK(I1317),ISBLANK(J1317), ISBLANK(K1317), ISBLANK(L1317), ISBLANK(M1317) ), "", 1.5*SQRT( EXP(2.21*(I1317-1)) + EXP(2.21*(J1317-1)) + EXP(2.21*(K1317-1)) + EXP(2.21*(L1317-1)) + EXP(2.21*M1317)   )/100*2.45 )</f>
        <v>0.13309242924026707</v>
      </c>
    </row>
    <row r="1318" spans="1:15" customFormat="1" hidden="1">
      <c r="A1318" t="str">
        <f>Clothing!A479</f>
        <v>Import of yarn</v>
      </c>
      <c r="B1318" t="str">
        <f>Clothing!B479</f>
        <v>Manufacturing of clothing</v>
      </c>
      <c r="C1318" t="str">
        <f>Clothing!C479</f>
        <v>any</v>
      </c>
      <c r="D1318" t="str">
        <f>Clothing!D479</f>
        <v>any</v>
      </c>
      <c r="E1318">
        <f>Clothing!E479</f>
        <v>1</v>
      </c>
      <c r="F1318">
        <f>Clothing!F479</f>
        <v>1</v>
      </c>
      <c r="G1318" t="str">
        <f>Clothing!G479</f>
        <v>Assumption</v>
      </c>
      <c r="H1318">
        <v>1</v>
      </c>
      <c r="I1318">
        <v>1</v>
      </c>
      <c r="J1318">
        <v>1</v>
      </c>
      <c r="K1318">
        <v>1</v>
      </c>
      <c r="L1318">
        <v>1</v>
      </c>
      <c r="M1318">
        <v>1</v>
      </c>
    </row>
    <row r="1319" spans="1:15" customFormat="1" hidden="1">
      <c r="A1319" t="str">
        <f>'Textile waste collection'!A16</f>
        <v>Home textiles (discarded)</v>
      </c>
      <c r="B1319" t="str">
        <f>'Textile waste collection'!B16</f>
        <v>Home textile waste collection</v>
      </c>
      <c r="C1319" t="str">
        <f>'Textile waste collection'!C16</f>
        <v>any</v>
      </c>
      <c r="D1319" t="str">
        <f>'Textile waste collection'!D16</f>
        <v>any</v>
      </c>
      <c r="E1319">
        <f>'Textile waste collection'!E16</f>
        <v>0.50465116279069766</v>
      </c>
      <c r="F1319">
        <f>'Textile waste collection'!F16</f>
        <v>2</v>
      </c>
      <c r="G1319" t="str">
        <f>'Textile waste collection'!G16</f>
        <v>Massabalans textiel, 2022</v>
      </c>
      <c r="H1319">
        <f>'Textile waste collection'!H16</f>
        <v>1</v>
      </c>
      <c r="I1319">
        <f>'Textile waste collection'!I16</f>
        <v>2</v>
      </c>
      <c r="J1319">
        <f>'Textile waste collection'!J16</f>
        <v>2</v>
      </c>
      <c r="K1319">
        <f>'Textile waste collection'!K16</f>
        <v>1</v>
      </c>
      <c r="L1319">
        <f>'Textile waste collection'!L16</f>
        <v>2</v>
      </c>
      <c r="M1319">
        <f>'Textile waste collection'!M16</f>
        <v>2</v>
      </c>
      <c r="N1319">
        <f t="shared" ref="N1319:N1321" si="101">IF( OR( ISBLANK(H1319),ISBLANK(J1319), ISBLANK(K1319), ISBLANK(L1319), ISBLANK(M1319) ), "", 1.5*SQRT(   EXP(2.21*(H1319-1)) + EXP(2.21*(J1319-1)) + EXP(2.21*(K1319-1)) + EXP(2.21*(L1319-1)) + EXP(2.21*M1319)   )/100*2.45 )</f>
        <v>0.37356464144298934</v>
      </c>
      <c r="O1319">
        <f t="shared" ref="O1319:O1321" si="102">IF( OR( ISBLANK(I1319),ISBLANK(J1319), ISBLANK(K1319), ISBLANK(L1319), ISBLANK(M1319) ), "", 1.5*SQRT( EXP(2.21*(I1319-1)) + EXP(2.21*(J1319-1)) + EXP(2.21*(K1319-1)) + EXP(2.21*(L1319-1)) + EXP(2.21*M1319)   )/100*2.45 )</f>
        <v>0.38795788889711302</v>
      </c>
    </row>
    <row r="1320" spans="1:15" customFormat="1" hidden="1">
      <c r="A1320" t="str">
        <f>'Textile waste collection'!A17</f>
        <v>Technical home textiles (discarded)</v>
      </c>
      <c r="B1320" t="str">
        <f>'Textile waste collection'!B17</f>
        <v>Technical textile waste collection</v>
      </c>
      <c r="C1320" t="str">
        <f>'Textile waste collection'!C17</f>
        <v>any</v>
      </c>
      <c r="D1320" t="str">
        <f>'Textile waste collection'!D17</f>
        <v>any</v>
      </c>
      <c r="E1320">
        <f>'Textile waste collection'!E17</f>
        <v>0.50465116279069766</v>
      </c>
      <c r="F1320">
        <f>'Textile waste collection'!F17</f>
        <v>2</v>
      </c>
      <c r="G1320" t="str">
        <f>'Textile waste collection'!G17</f>
        <v>Massabalans textiel, 2022</v>
      </c>
      <c r="H1320">
        <f>'Textile waste collection'!H17</f>
        <v>1</v>
      </c>
      <c r="I1320">
        <f>'Textile waste collection'!I17</f>
        <v>2</v>
      </c>
      <c r="J1320">
        <f>'Textile waste collection'!J17</f>
        <v>2</v>
      </c>
      <c r="K1320">
        <f>'Textile waste collection'!K17</f>
        <v>1</v>
      </c>
      <c r="L1320">
        <f>'Textile waste collection'!L17</f>
        <v>2</v>
      </c>
      <c r="M1320">
        <f>'Textile waste collection'!M17</f>
        <v>2</v>
      </c>
      <c r="N1320">
        <f t="shared" si="101"/>
        <v>0.37356464144298934</v>
      </c>
      <c r="O1320">
        <f t="shared" si="102"/>
        <v>0.38795788889711302</v>
      </c>
    </row>
    <row r="1321" spans="1:15" customFormat="1" hidden="1">
      <c r="A1321" t="str">
        <f>'Textile waste collection'!A18</f>
        <v>Textile coating (discarded)</v>
      </c>
      <c r="B1321" t="str">
        <f>'Textile waste collection'!B18</f>
        <v>Technical textile waste collection</v>
      </c>
      <c r="C1321" t="str">
        <f>'Textile waste collection'!C18</f>
        <v>any</v>
      </c>
      <c r="D1321" t="str">
        <f>'Textile waste collection'!D18</f>
        <v>any</v>
      </c>
      <c r="E1321">
        <f>'Textile waste collection'!E18</f>
        <v>0.33810000000000001</v>
      </c>
      <c r="F1321">
        <f>'Textile waste collection'!F18</f>
        <v>2</v>
      </c>
      <c r="G1321" t="str">
        <f>'Textile waste collection'!G18</f>
        <v>Kawecki and Nowack (2019)</v>
      </c>
      <c r="H1321">
        <f>'Textile waste collection'!H18</f>
        <v>2</v>
      </c>
      <c r="I1321">
        <f>'Textile waste collection'!I18</f>
        <v>2</v>
      </c>
      <c r="J1321">
        <f>'Textile waste collection'!J18</f>
        <v>2</v>
      </c>
      <c r="K1321">
        <f>'Textile waste collection'!K18</f>
        <v>3</v>
      </c>
      <c r="L1321">
        <f>'Textile waste collection'!L18</f>
        <v>1</v>
      </c>
      <c r="M1321">
        <f>'Textile waste collection'!M18</f>
        <v>2</v>
      </c>
      <c r="N1321">
        <f t="shared" si="101"/>
        <v>0.50042652380814845</v>
      </c>
      <c r="O1321">
        <f t="shared" si="102"/>
        <v>0.50042652380814845</v>
      </c>
    </row>
    <row r="1322" spans="1:15" customFormat="1" hidden="1">
      <c r="A1322" t="str">
        <f>'Textile waste collection'!A29</f>
        <v>Clothing waste collection</v>
      </c>
      <c r="B1322" t="str">
        <f>'Textile waste collection'!B29</f>
        <v>Textile reuse</v>
      </c>
      <c r="C1322" t="str">
        <f>'Textile waste collection'!C29</f>
        <v>any</v>
      </c>
      <c r="D1322" t="str">
        <f>'Textile waste collection'!D29</f>
        <v>any</v>
      </c>
      <c r="E1322">
        <f>'Textile waste collection'!E29</f>
        <v>6.7281105990783407E-2</v>
      </c>
      <c r="F1322">
        <f>'Textile waste collection'!F29</f>
        <v>2</v>
      </c>
      <c r="G1322" t="str">
        <f>'Textile waste collection'!G29</f>
        <v>Massabalans textiel, 2022</v>
      </c>
      <c r="H1322">
        <f>'Textile waste collection'!H29</f>
        <v>1</v>
      </c>
      <c r="I1322">
        <f>'Textile waste collection'!I29</f>
        <v>2</v>
      </c>
      <c r="J1322">
        <f>'Textile waste collection'!J29</f>
        <v>2</v>
      </c>
      <c r="K1322">
        <f>'Textile waste collection'!K29</f>
        <v>1</v>
      </c>
      <c r="L1322">
        <f>'Textile waste collection'!L29</f>
        <v>2</v>
      </c>
      <c r="M1322">
        <f>'Textile waste collection'!M29</f>
        <v>2</v>
      </c>
    </row>
    <row r="1323" spans="1:15" customFormat="1" hidden="1">
      <c r="A1323" t="str">
        <f>'Textile waste collection'!A30</f>
        <v>Clothing waste collection</v>
      </c>
      <c r="B1323" t="str">
        <f>'Textile waste collection'!B30</f>
        <v>Textile recycling</v>
      </c>
      <c r="C1323" t="str">
        <f>'Textile waste collection'!C30</f>
        <v>any</v>
      </c>
      <c r="D1323" t="str">
        <f>'Textile waste collection'!D30</f>
        <v>any</v>
      </c>
      <c r="E1323">
        <f>'Textile waste collection'!E30</f>
        <v>5.7142857142857141E-2</v>
      </c>
      <c r="F1323">
        <f>'Textile waste collection'!F30</f>
        <v>3</v>
      </c>
      <c r="G1323" t="str">
        <f>'Textile waste collection'!G30</f>
        <v>Massabalans textiel, 2022</v>
      </c>
      <c r="H1323">
        <f>'Textile waste collection'!H30</f>
        <v>1</v>
      </c>
      <c r="I1323">
        <f>'Textile waste collection'!I30</f>
        <v>2</v>
      </c>
      <c r="J1323">
        <f>'Textile waste collection'!J30</f>
        <v>2</v>
      </c>
      <c r="K1323">
        <f>'Textile waste collection'!K30</f>
        <v>1</v>
      </c>
      <c r="L1323">
        <f>'Textile waste collection'!L30</f>
        <v>2</v>
      </c>
      <c r="M1323">
        <f>'Textile waste collection'!M30</f>
        <v>2</v>
      </c>
      <c r="N1323">
        <f t="shared" ref="N1323:N1325" si="103">IF( OR( ISBLANK(H1323),ISBLANK(J1323), ISBLANK(K1323), ISBLANK(L1323), ISBLANK(M1323) ), "", 1.5*SQRT(   EXP(2.21*(H1323-1)) + EXP(2.21*(J1323-1)) + EXP(2.21*(K1323-1)) + EXP(2.21*(L1323-1)) + EXP(2.21*M1323)   )/100*2.45 )</f>
        <v>0.37356464144298934</v>
      </c>
      <c r="O1323">
        <f t="shared" ref="O1323:O1325" si="104">IF( OR( ISBLANK(I1323),ISBLANK(J1323), ISBLANK(K1323), ISBLANK(L1323), ISBLANK(M1323) ), "", 1.5*SQRT( EXP(2.21*(I1323-1)) + EXP(2.21*(J1323-1)) + EXP(2.21*(K1323-1)) + EXP(2.21*(L1323-1)) + EXP(2.21*M1323)   )/100*2.45 )</f>
        <v>0.38795788889711302</v>
      </c>
    </row>
    <row r="1324" spans="1:15" customFormat="1" hidden="1">
      <c r="A1324" t="str">
        <f>'Textile waste collection'!A31</f>
        <v>Clothing waste collection</v>
      </c>
      <c r="B1324" t="str">
        <f>'Textile waste collection'!B31</f>
        <v>Residential soil (macro)</v>
      </c>
      <c r="C1324" t="str">
        <f>'Textile waste collection'!C31</f>
        <v>any</v>
      </c>
      <c r="D1324" t="str">
        <f>'Textile waste collection'!D31</f>
        <v>any</v>
      </c>
      <c r="E1324">
        <f>'Textile waste collection'!E31</f>
        <v>1E-4</v>
      </c>
      <c r="F1324">
        <f>'Textile waste collection'!F31</f>
        <v>3</v>
      </c>
      <c r="G1324" t="str">
        <f>'Textile waste collection'!G31</f>
        <v>assumption based on similar losses estimated for other waste collection systems</v>
      </c>
      <c r="N1324" t="str">
        <f t="shared" si="103"/>
        <v/>
      </c>
      <c r="O1324" t="str">
        <f t="shared" si="104"/>
        <v/>
      </c>
    </row>
    <row r="1325" spans="1:15" customFormat="1" hidden="1">
      <c r="A1325" t="str">
        <f>'Textile waste collection'!A32</f>
        <v>Clothing waste collection</v>
      </c>
      <c r="B1325" t="str">
        <f>'Textile waste collection'!B32</f>
        <v>Landfill</v>
      </c>
      <c r="C1325" t="str">
        <f>'Textile waste collection'!C32</f>
        <v>any</v>
      </c>
      <c r="D1325" t="str">
        <f>'Textile waste collection'!D32</f>
        <v>any</v>
      </c>
      <c r="E1325">
        <f>'Textile waste collection'!E32</f>
        <v>3.0000000000000001E-3</v>
      </c>
      <c r="F1325">
        <f>'Textile waste collection'!F32</f>
        <v>2</v>
      </c>
      <c r="G1325" t="str">
        <f>'Textile waste collection'!G32</f>
        <v>Massabalans textiel, 2018</v>
      </c>
      <c r="H1325">
        <f>'Textile waste collection'!H32</f>
        <v>1</v>
      </c>
      <c r="I1325">
        <f>'Textile waste collection'!I32</f>
        <v>2</v>
      </c>
      <c r="J1325">
        <f>'Textile waste collection'!J32</f>
        <v>2</v>
      </c>
      <c r="K1325">
        <f>'Textile waste collection'!K32</f>
        <v>1</v>
      </c>
      <c r="L1325">
        <f>'Textile waste collection'!L32</f>
        <v>2</v>
      </c>
      <c r="M1325">
        <f>'Textile waste collection'!M32</f>
        <v>2</v>
      </c>
      <c r="N1325">
        <f t="shared" si="103"/>
        <v>0.37356464144298934</v>
      </c>
      <c r="O1325">
        <f t="shared" si="104"/>
        <v>0.38795788889711302</v>
      </c>
    </row>
    <row r="1326" spans="1:15" customFormat="1" hidden="1">
      <c r="A1326" t="str">
        <f>'Textile waste collection'!A33</f>
        <v>Clothing waste collection</v>
      </c>
      <c r="B1326" t="str">
        <f>'Textile waste collection'!B33</f>
        <v>Incineration</v>
      </c>
      <c r="C1326" t="str">
        <f>'Textile waste collection'!C33</f>
        <v>any</v>
      </c>
      <c r="D1326" t="str">
        <f>'Textile waste collection'!D33</f>
        <v>any</v>
      </c>
      <c r="E1326">
        <f>'Textile waste collection'!E33</f>
        <v>6.5437788018433182E-2</v>
      </c>
      <c r="F1326">
        <f>'Textile waste collection'!F33</f>
        <v>2</v>
      </c>
      <c r="G1326" t="str">
        <f>'Textile waste collection'!G33</f>
        <v>Massabalans textiel, 2022</v>
      </c>
      <c r="H1326">
        <f>'Textile waste collection'!H33</f>
        <v>1</v>
      </c>
      <c r="I1326">
        <f>'Textile waste collection'!I33</f>
        <v>2</v>
      </c>
      <c r="J1326">
        <f>'Textile waste collection'!J33</f>
        <v>2</v>
      </c>
      <c r="K1326">
        <f>'Textile waste collection'!K33</f>
        <v>1</v>
      </c>
      <c r="L1326">
        <f>'Textile waste collection'!L33</f>
        <v>2</v>
      </c>
      <c r="M1326">
        <f>'Textile waste collection'!M33</f>
        <v>2</v>
      </c>
    </row>
    <row r="1327" spans="1:15" customFormat="1" hidden="1">
      <c r="A1327" t="str">
        <f>'Textile waste collection'!A34</f>
        <v>Clothing waste collection</v>
      </c>
      <c r="B1327" t="str">
        <f>'Textile waste collection'!B34</f>
        <v>Export</v>
      </c>
      <c r="C1327" t="str">
        <f>'Textile waste collection'!C34</f>
        <v>any</v>
      </c>
      <c r="D1327" t="str">
        <f>'Textile waste collection'!D34</f>
        <v>any</v>
      </c>
      <c r="E1327" t="str">
        <f>'Textile waste collection'!E34</f>
        <v>rest</v>
      </c>
      <c r="F1327">
        <f>'Textile waste collection'!F34</f>
        <v>1</v>
      </c>
      <c r="G1327" t="str">
        <f>'Textile waste collection'!G34</f>
        <v>Massabalans textiel, 2022</v>
      </c>
      <c r="H1327">
        <f>'Textile waste collection'!H34</f>
        <v>1</v>
      </c>
      <c r="I1327">
        <f>'Textile waste collection'!I34</f>
        <v>2</v>
      </c>
      <c r="J1327">
        <f>'Textile waste collection'!J34</f>
        <v>2</v>
      </c>
      <c r="K1327">
        <f>'Textile waste collection'!K34</f>
        <v>1</v>
      </c>
      <c r="L1327">
        <f>'Textile waste collection'!L34</f>
        <v>2</v>
      </c>
      <c r="M1327">
        <f>'Textile waste collection'!M34</f>
        <v>2</v>
      </c>
      <c r="N1327">
        <f t="shared" ref="N1327:N1329" si="105">IF( OR( ISBLANK(H1327),ISBLANK(J1327), ISBLANK(K1327), ISBLANK(L1327), ISBLANK(M1327) ), "", 1.5*SQRT(   EXP(2.21*(H1327-1)) + EXP(2.21*(J1327-1)) + EXP(2.21*(K1327-1)) + EXP(2.21*(L1327-1)) + EXP(2.21*M1327)   )/100*2.45 )</f>
        <v>0.37356464144298934</v>
      </c>
      <c r="O1327">
        <f t="shared" ref="O1327:O1329" si="106">IF( OR( ISBLANK(I1327),ISBLANK(J1327), ISBLANK(K1327), ISBLANK(L1327), ISBLANK(M1327) ), "", 1.5*SQRT( EXP(2.21*(I1327-1)) + EXP(2.21*(J1327-1)) + EXP(2.21*(K1327-1)) + EXP(2.21*(L1327-1)) + EXP(2.21*M1327)   )/100*2.45 )</f>
        <v>0.38795788889711302</v>
      </c>
    </row>
    <row r="1328" spans="1:15" customFormat="1" hidden="1">
      <c r="A1328" t="str">
        <f>'Textile waste collection'!A35</f>
        <v>Home textile waste collection</v>
      </c>
      <c r="B1328" t="str">
        <f>'Textile waste collection'!B35</f>
        <v>Textile reuse</v>
      </c>
      <c r="C1328" t="str">
        <f>'Textile waste collection'!C35</f>
        <v>any</v>
      </c>
      <c r="D1328" t="str">
        <f>'Textile waste collection'!D35</f>
        <v>any</v>
      </c>
      <c r="E1328">
        <f>'Textile waste collection'!E35</f>
        <v>6.7281105990783407E-2</v>
      </c>
      <c r="F1328">
        <f>'Textile waste collection'!F35</f>
        <v>2</v>
      </c>
      <c r="G1328" t="str">
        <f>'Textile waste collection'!G35</f>
        <v>Massabalans textiel, 2022</v>
      </c>
      <c r="H1328">
        <f>'Textile waste collection'!H35</f>
        <v>1</v>
      </c>
      <c r="I1328">
        <f>'Textile waste collection'!I35</f>
        <v>2</v>
      </c>
      <c r="J1328">
        <f>'Textile waste collection'!J35</f>
        <v>2</v>
      </c>
      <c r="K1328">
        <f>'Textile waste collection'!K35</f>
        <v>1</v>
      </c>
      <c r="L1328">
        <f>'Textile waste collection'!L35</f>
        <v>2</v>
      </c>
      <c r="M1328">
        <f>'Textile waste collection'!M35</f>
        <v>2</v>
      </c>
      <c r="N1328">
        <f t="shared" si="105"/>
        <v>0.37356464144298934</v>
      </c>
      <c r="O1328">
        <f t="shared" si="106"/>
        <v>0.38795788889711302</v>
      </c>
    </row>
    <row r="1329" spans="1:15" customFormat="1" hidden="1">
      <c r="A1329" t="str">
        <f>'Textile waste collection'!A36</f>
        <v>Home textile waste collection</v>
      </c>
      <c r="B1329" t="str">
        <f>'Textile waste collection'!B36</f>
        <v>Textile recycling</v>
      </c>
      <c r="C1329" t="str">
        <f>'Textile waste collection'!C36</f>
        <v>any</v>
      </c>
      <c r="D1329" t="str">
        <f>'Textile waste collection'!D36</f>
        <v>any</v>
      </c>
      <c r="E1329">
        <f>'Textile waste collection'!E36</f>
        <v>5.7142857142857141E-2</v>
      </c>
      <c r="F1329">
        <f>'Textile waste collection'!F36</f>
        <v>3</v>
      </c>
      <c r="G1329" t="str">
        <f>'Textile waste collection'!G36</f>
        <v>Massabalans textiel, 2022</v>
      </c>
      <c r="H1329">
        <f>'Textile waste collection'!H36</f>
        <v>1</v>
      </c>
      <c r="I1329">
        <f>'Textile waste collection'!I36</f>
        <v>2</v>
      </c>
      <c r="J1329">
        <f>'Textile waste collection'!J36</f>
        <v>2</v>
      </c>
      <c r="K1329">
        <f>'Textile waste collection'!K36</f>
        <v>1</v>
      </c>
      <c r="L1329">
        <f>'Textile waste collection'!L36</f>
        <v>2</v>
      </c>
      <c r="M1329">
        <f>'Textile waste collection'!M36</f>
        <v>2</v>
      </c>
      <c r="N1329">
        <f t="shared" si="105"/>
        <v>0.37356464144298934</v>
      </c>
      <c r="O1329">
        <f t="shared" si="106"/>
        <v>0.38795788889711302</v>
      </c>
    </row>
    <row r="1330" spans="1:15" customFormat="1" hidden="1">
      <c r="A1330" t="str">
        <f>'Textile waste collection'!A37</f>
        <v>Home textile waste collection</v>
      </c>
      <c r="B1330" t="str">
        <f>'Textile waste collection'!B37</f>
        <v>Residential soil (macro)</v>
      </c>
      <c r="C1330" t="str">
        <f>'Textile waste collection'!C37</f>
        <v>any</v>
      </c>
      <c r="D1330" t="str">
        <f>'Textile waste collection'!D37</f>
        <v>any</v>
      </c>
      <c r="E1330">
        <f>'Textile waste collection'!E37</f>
        <v>1E-4</v>
      </c>
      <c r="F1330">
        <f>'Textile waste collection'!F37</f>
        <v>3</v>
      </c>
      <c r="G1330" t="str">
        <f>'Textile waste collection'!G37</f>
        <v>assumption based on similar losses estimated for other waste collection systems</v>
      </c>
    </row>
    <row r="1331" spans="1:15" customFormat="1" hidden="1">
      <c r="A1331" t="str">
        <f>'Textile waste collection'!A38</f>
        <v>Home textile waste collection</v>
      </c>
      <c r="B1331" t="str">
        <f>'Textile waste collection'!B38</f>
        <v>Landfill</v>
      </c>
      <c r="C1331" t="str">
        <f>'Textile waste collection'!C38</f>
        <v>any</v>
      </c>
      <c r="D1331" t="str">
        <f>'Textile waste collection'!D38</f>
        <v>any</v>
      </c>
      <c r="E1331">
        <f>'Textile waste collection'!E38</f>
        <v>3.0000000000000001E-3</v>
      </c>
      <c r="F1331">
        <f>'Textile waste collection'!F38</f>
        <v>2</v>
      </c>
      <c r="G1331" t="str">
        <f>'Textile waste collection'!G38</f>
        <v>Massabalans textiel, 2018</v>
      </c>
      <c r="H1331">
        <f>'Textile waste collection'!H38</f>
        <v>1</v>
      </c>
      <c r="I1331">
        <f>'Textile waste collection'!I38</f>
        <v>2</v>
      </c>
      <c r="J1331">
        <f>'Textile waste collection'!J38</f>
        <v>2</v>
      </c>
      <c r="K1331">
        <f>'Textile waste collection'!K38</f>
        <v>1</v>
      </c>
      <c r="L1331">
        <f>'Textile waste collection'!L38</f>
        <v>2</v>
      </c>
      <c r="M1331">
        <f>'Textile waste collection'!M38</f>
        <v>2</v>
      </c>
      <c r="N1331">
        <f t="shared" ref="N1331:N1333" si="107">IF( OR( ISBLANK(H1331),ISBLANK(J1331), ISBLANK(K1331), ISBLANK(L1331), ISBLANK(M1331) ), "", 1.5*SQRT(   EXP(2.21*(H1331-1)) + EXP(2.21*(J1331-1)) + EXP(2.21*(K1331-1)) + EXP(2.21*(L1331-1)) + EXP(2.21*M1331)   )/100*2.45 )</f>
        <v>0.37356464144298934</v>
      </c>
      <c r="O1331">
        <f t="shared" ref="O1331:O1333" si="108">IF( OR( ISBLANK(I1331),ISBLANK(J1331), ISBLANK(K1331), ISBLANK(L1331), ISBLANK(M1331) ), "", 1.5*SQRT( EXP(2.21*(I1331-1)) + EXP(2.21*(J1331-1)) + EXP(2.21*(K1331-1)) + EXP(2.21*(L1331-1)) + EXP(2.21*M1331)   )/100*2.45 )</f>
        <v>0.38795788889711302</v>
      </c>
    </row>
    <row r="1332" spans="1:15" customFormat="1" hidden="1">
      <c r="A1332" t="str">
        <f>'Textile waste collection'!A39</f>
        <v>Home textile waste collection</v>
      </c>
      <c r="B1332" t="str">
        <f>'Textile waste collection'!B39</f>
        <v>Incineration</v>
      </c>
      <c r="C1332" t="str">
        <f>'Textile waste collection'!C39</f>
        <v>any</v>
      </c>
      <c r="D1332" t="str">
        <f>'Textile waste collection'!D39</f>
        <v>any</v>
      </c>
      <c r="E1332">
        <f>'Textile waste collection'!E39</f>
        <v>6.5437788018433182E-2</v>
      </c>
      <c r="F1332">
        <f>'Textile waste collection'!F39</f>
        <v>2</v>
      </c>
      <c r="G1332" t="str">
        <f>'Textile waste collection'!G39</f>
        <v>Massabalans textiel, 2022</v>
      </c>
      <c r="H1332">
        <f>'Textile waste collection'!H39</f>
        <v>1</v>
      </c>
      <c r="I1332">
        <f>'Textile waste collection'!I39</f>
        <v>2</v>
      </c>
      <c r="J1332">
        <f>'Textile waste collection'!J39</f>
        <v>2</v>
      </c>
      <c r="K1332">
        <f>'Textile waste collection'!K39</f>
        <v>1</v>
      </c>
      <c r="L1332">
        <f>'Textile waste collection'!L39</f>
        <v>2</v>
      </c>
      <c r="M1332">
        <f>'Textile waste collection'!M39</f>
        <v>2</v>
      </c>
      <c r="N1332">
        <f t="shared" si="107"/>
        <v>0.37356464144298934</v>
      </c>
      <c r="O1332">
        <f t="shared" si="108"/>
        <v>0.38795788889711302</v>
      </c>
    </row>
    <row r="1333" spans="1:15" customFormat="1" hidden="1">
      <c r="A1333" t="str">
        <f>'Textile waste collection'!A40</f>
        <v>Home textile waste collection</v>
      </c>
      <c r="B1333" t="str">
        <f>'Textile waste collection'!B40</f>
        <v>Export</v>
      </c>
      <c r="C1333" t="str">
        <f>'Textile waste collection'!C40</f>
        <v>any</v>
      </c>
      <c r="D1333" t="str">
        <f>'Textile waste collection'!D40</f>
        <v>any</v>
      </c>
      <c r="E1333" t="str">
        <f>'Textile waste collection'!E40</f>
        <v>rest</v>
      </c>
      <c r="F1333">
        <f>'Textile waste collection'!F40</f>
        <v>1</v>
      </c>
      <c r="G1333" t="str">
        <f>'Textile waste collection'!G40</f>
        <v>Massabalans textiel, 2022</v>
      </c>
      <c r="H1333">
        <f>'Textile waste collection'!H40</f>
        <v>1</v>
      </c>
      <c r="I1333">
        <f>'Textile waste collection'!I40</f>
        <v>2</v>
      </c>
      <c r="J1333">
        <f>'Textile waste collection'!J40</f>
        <v>2</v>
      </c>
      <c r="K1333">
        <f>'Textile waste collection'!K40</f>
        <v>1</v>
      </c>
      <c r="L1333">
        <f>'Textile waste collection'!L40</f>
        <v>2</v>
      </c>
      <c r="M1333">
        <f>'Textile waste collection'!M40</f>
        <v>2</v>
      </c>
      <c r="N1333">
        <f t="shared" si="107"/>
        <v>0.37356464144298934</v>
      </c>
      <c r="O1333">
        <f t="shared" si="108"/>
        <v>0.38795788889711302</v>
      </c>
    </row>
    <row r="1334" spans="1:15" customFormat="1" hidden="1">
      <c r="A1334" t="str">
        <f>'Textile waste collection'!A41</f>
        <v>Technical textile waste collection</v>
      </c>
      <c r="B1334" t="str">
        <f>'Textile waste collection'!B41</f>
        <v>Textile reuse</v>
      </c>
      <c r="C1334" t="str">
        <f>'Textile waste collection'!C41</f>
        <v>any</v>
      </c>
      <c r="D1334" t="str">
        <f>'Textile waste collection'!D41</f>
        <v>any</v>
      </c>
      <c r="E1334">
        <f>'Textile waste collection'!E41</f>
        <v>6.7281105990783407E-2</v>
      </c>
      <c r="F1334">
        <f>'Textile waste collection'!F41</f>
        <v>2</v>
      </c>
      <c r="G1334" t="str">
        <f>'Textile waste collection'!G41</f>
        <v>Massabalans textiel, 2022</v>
      </c>
      <c r="H1334">
        <f>'Textile waste collection'!H41</f>
        <v>1</v>
      </c>
      <c r="I1334">
        <f>'Textile waste collection'!I41</f>
        <v>2</v>
      </c>
      <c r="J1334">
        <f>'Textile waste collection'!J41</f>
        <v>2</v>
      </c>
      <c r="K1334">
        <f>'Textile waste collection'!K41</f>
        <v>1</v>
      </c>
      <c r="L1334">
        <f>'Textile waste collection'!L41</f>
        <v>2</v>
      </c>
      <c r="M1334">
        <f>'Textile waste collection'!M41</f>
        <v>2</v>
      </c>
    </row>
    <row r="1335" spans="1:15" customFormat="1" hidden="1">
      <c r="A1335" t="str">
        <f>'Textile waste collection'!A42</f>
        <v>Technical textile waste collection</v>
      </c>
      <c r="B1335" t="str">
        <f>'Textile waste collection'!B42</f>
        <v>Textile recycling</v>
      </c>
      <c r="C1335" t="str">
        <f>'Textile waste collection'!C42</f>
        <v>any</v>
      </c>
      <c r="D1335" t="str">
        <f>'Textile waste collection'!D42</f>
        <v>any</v>
      </c>
      <c r="E1335">
        <f>'Textile waste collection'!E42</f>
        <v>5.7142857142857141E-2</v>
      </c>
      <c r="F1335">
        <f>'Textile waste collection'!F42</f>
        <v>3</v>
      </c>
      <c r="G1335" t="str">
        <f>'Textile waste collection'!G42</f>
        <v>Massabalans textiel, 2022</v>
      </c>
      <c r="H1335">
        <f>'Textile waste collection'!H42</f>
        <v>1</v>
      </c>
      <c r="I1335">
        <f>'Textile waste collection'!I42</f>
        <v>2</v>
      </c>
      <c r="J1335">
        <f>'Textile waste collection'!J42</f>
        <v>2</v>
      </c>
      <c r="K1335">
        <f>'Textile waste collection'!K42</f>
        <v>1</v>
      </c>
      <c r="L1335">
        <f>'Textile waste collection'!L42</f>
        <v>2</v>
      </c>
      <c r="M1335">
        <f>'Textile waste collection'!M42</f>
        <v>2</v>
      </c>
      <c r="N1335">
        <f t="shared" ref="N1335:N1337" si="109">IF( OR( ISBLANK(H1335),ISBLANK(J1335), ISBLANK(K1335), ISBLANK(L1335), ISBLANK(M1335) ), "", 1.5*SQRT(   EXP(2.21*(H1335-1)) + EXP(2.21*(J1335-1)) + EXP(2.21*(K1335-1)) + EXP(2.21*(L1335-1)) + EXP(2.21*M1335)   )/100*2.45 )</f>
        <v>0.37356464144298934</v>
      </c>
      <c r="O1335">
        <f t="shared" ref="O1335:O1337" si="110">IF( OR( ISBLANK(I1335),ISBLANK(J1335), ISBLANK(K1335), ISBLANK(L1335), ISBLANK(M1335) ), "", 1.5*SQRT( EXP(2.21*(I1335-1)) + EXP(2.21*(J1335-1)) + EXP(2.21*(K1335-1)) + EXP(2.21*(L1335-1)) + EXP(2.21*M1335)   )/100*2.45 )</f>
        <v>0.38795788889711302</v>
      </c>
    </row>
    <row r="1336" spans="1:15" customFormat="1" hidden="1">
      <c r="A1336" t="str">
        <f>'Textile waste collection'!A43</f>
        <v>Technical textile waste collection</v>
      </c>
      <c r="B1336" t="str">
        <f>'Textile waste collection'!B43</f>
        <v>Residential soil (macro)</v>
      </c>
      <c r="C1336" t="str">
        <f>'Textile waste collection'!C43</f>
        <v>any</v>
      </c>
      <c r="D1336" t="str">
        <f>'Textile waste collection'!D43</f>
        <v>any</v>
      </c>
      <c r="E1336">
        <f>'Textile waste collection'!E43</f>
        <v>1E-4</v>
      </c>
      <c r="F1336">
        <f>'Textile waste collection'!F43</f>
        <v>3</v>
      </c>
      <c r="G1336" t="str">
        <f>'Textile waste collection'!G43</f>
        <v>assumption based on similar losses estimated for other waste collection systems</v>
      </c>
      <c r="N1336" t="str">
        <f t="shared" si="109"/>
        <v/>
      </c>
      <c r="O1336" t="str">
        <f t="shared" si="110"/>
        <v/>
      </c>
    </row>
    <row r="1337" spans="1:15" customFormat="1" hidden="1">
      <c r="A1337" t="str">
        <f>'Textile waste collection'!A44</f>
        <v>Technical textile waste collection</v>
      </c>
      <c r="B1337" t="str">
        <f>'Textile waste collection'!B44</f>
        <v>Landfill</v>
      </c>
      <c r="C1337" t="str">
        <f>'Textile waste collection'!C44</f>
        <v>any</v>
      </c>
      <c r="D1337" t="str">
        <f>'Textile waste collection'!D44</f>
        <v>any</v>
      </c>
      <c r="E1337">
        <f>'Textile waste collection'!E44</f>
        <v>3.0000000000000001E-3</v>
      </c>
      <c r="F1337">
        <f>'Textile waste collection'!F44</f>
        <v>2</v>
      </c>
      <c r="G1337" t="str">
        <f>'Textile waste collection'!G44</f>
        <v>Massabalans textiel, 2018</v>
      </c>
      <c r="H1337">
        <f>'Textile waste collection'!H44</f>
        <v>1</v>
      </c>
      <c r="I1337">
        <f>'Textile waste collection'!I44</f>
        <v>2</v>
      </c>
      <c r="J1337">
        <f>'Textile waste collection'!J44</f>
        <v>2</v>
      </c>
      <c r="K1337">
        <f>'Textile waste collection'!K44</f>
        <v>1</v>
      </c>
      <c r="L1337">
        <f>'Textile waste collection'!L44</f>
        <v>2</v>
      </c>
      <c r="M1337">
        <f>'Textile waste collection'!M44</f>
        <v>2</v>
      </c>
      <c r="N1337">
        <f t="shared" si="109"/>
        <v>0.37356464144298934</v>
      </c>
      <c r="O1337">
        <f t="shared" si="110"/>
        <v>0.38795788889711302</v>
      </c>
    </row>
    <row r="1338" spans="1:15" customFormat="1" hidden="1">
      <c r="A1338" t="str">
        <f>'Textile waste collection'!A45</f>
        <v>Technical textile waste collection</v>
      </c>
      <c r="B1338" t="str">
        <f>'Textile waste collection'!B45</f>
        <v>Incineration</v>
      </c>
      <c r="C1338" t="str">
        <f>'Textile waste collection'!C45</f>
        <v>any</v>
      </c>
      <c r="D1338" t="str">
        <f>'Textile waste collection'!D45</f>
        <v>any</v>
      </c>
      <c r="E1338">
        <f>'Textile waste collection'!E45</f>
        <v>6.5437788018433182E-2</v>
      </c>
      <c r="F1338">
        <f>'Textile waste collection'!F45</f>
        <v>2</v>
      </c>
      <c r="G1338" t="str">
        <f>'Textile waste collection'!G45</f>
        <v>Massabalans textiel, 2022</v>
      </c>
      <c r="H1338">
        <f>'Textile waste collection'!H45</f>
        <v>1</v>
      </c>
      <c r="I1338">
        <f>'Textile waste collection'!I45</f>
        <v>2</v>
      </c>
      <c r="J1338">
        <f>'Textile waste collection'!J45</f>
        <v>2</v>
      </c>
      <c r="K1338">
        <f>'Textile waste collection'!K45</f>
        <v>1</v>
      </c>
      <c r="L1338">
        <f>'Textile waste collection'!L45</f>
        <v>2</v>
      </c>
      <c r="M1338">
        <f>'Textile waste collection'!M45</f>
        <v>2</v>
      </c>
    </row>
    <row r="1339" spans="1:15" customFormat="1" hidden="1">
      <c r="A1339" t="str">
        <f>'Textile waste collection'!A46</f>
        <v>Technical textile waste collection</v>
      </c>
      <c r="B1339" t="str">
        <f>'Textile waste collection'!B46</f>
        <v>Export</v>
      </c>
      <c r="C1339" t="str">
        <f>'Textile waste collection'!C46</f>
        <v>any</v>
      </c>
      <c r="D1339" t="str">
        <f>'Textile waste collection'!D46</f>
        <v>any</v>
      </c>
      <c r="E1339" t="str">
        <f>'Textile waste collection'!E46</f>
        <v>rest</v>
      </c>
      <c r="F1339">
        <f>'Textile waste collection'!F46</f>
        <v>1</v>
      </c>
      <c r="G1339" t="str">
        <f>'Textile waste collection'!G46</f>
        <v>Massabalans textiel, 2022</v>
      </c>
      <c r="H1339">
        <f>'Textile waste collection'!H46</f>
        <v>1</v>
      </c>
      <c r="I1339">
        <f>'Textile waste collection'!I46</f>
        <v>2</v>
      </c>
      <c r="J1339">
        <f>'Textile waste collection'!J46</f>
        <v>2</v>
      </c>
      <c r="K1339">
        <f>'Textile waste collection'!K46</f>
        <v>1</v>
      </c>
      <c r="L1339">
        <f>'Textile waste collection'!L46</f>
        <v>2</v>
      </c>
      <c r="M1339">
        <f>'Textile waste collection'!M46</f>
        <v>2</v>
      </c>
      <c r="N1339">
        <f t="shared" ref="N1339:N1341" si="111">IF( OR( ISBLANK(H1339),ISBLANK(J1339), ISBLANK(K1339), ISBLANK(L1339), ISBLANK(M1339) ), "", 1.5*SQRT(   EXP(2.21*(H1339-1)) + EXP(2.21*(J1339-1)) + EXP(2.21*(K1339-1)) + EXP(2.21*(L1339-1)) + EXP(2.21*M1339)   )/100*2.45 )</f>
        <v>0.37356464144298934</v>
      </c>
      <c r="O1339">
        <f t="shared" ref="O1339:O1341" si="112">IF( OR( ISBLANK(I1339),ISBLANK(J1339), ISBLANK(K1339), ISBLANK(L1339), ISBLANK(M1339) ), "", 1.5*SQRT( EXP(2.21*(I1339-1)) + EXP(2.21*(J1339-1)) + EXP(2.21*(K1339-1)) + EXP(2.21*(L1339-1)) + EXP(2.21*M1339)   )/100*2.45 )</f>
        <v>0.38795788889711302</v>
      </c>
    </row>
    <row r="1340" spans="1:15" customFormat="1" hidden="1">
      <c r="A1340" t="str">
        <f>'Textile waste collection'!A47</f>
        <v>Footwear waste collection</v>
      </c>
      <c r="B1340" t="str">
        <f>'Textile waste collection'!B47</f>
        <v>Footwear reuse</v>
      </c>
      <c r="C1340" t="str">
        <f>'Textile waste collection'!C47</f>
        <v>any</v>
      </c>
      <c r="D1340" t="str">
        <f>'Textile waste collection'!D47</f>
        <v>any</v>
      </c>
      <c r="E1340">
        <f>'Textile waste collection'!E47</f>
        <v>0.1</v>
      </c>
      <c r="F1340">
        <f>'Textile waste collection'!F47</f>
        <v>2</v>
      </c>
      <c r="G1340" t="str">
        <f>'Textile waste collection'!G47</f>
        <v>(de Waart et al., 2023)</v>
      </c>
      <c r="H1340">
        <f>'Textile waste collection'!H47</f>
        <v>2</v>
      </c>
      <c r="I1340">
        <f>'Textile waste collection'!I47</f>
        <v>2</v>
      </c>
      <c r="J1340">
        <f>'Textile waste collection'!J47</f>
        <v>2</v>
      </c>
      <c r="K1340">
        <f>'Textile waste collection'!K47</f>
        <v>3</v>
      </c>
      <c r="L1340">
        <f>'Textile waste collection'!L47</f>
        <v>2</v>
      </c>
      <c r="M1340">
        <f>'Textile waste collection'!M47</f>
        <v>2</v>
      </c>
      <c r="N1340">
        <f t="shared" si="111"/>
        <v>0.51126068492676302</v>
      </c>
      <c r="O1340">
        <f t="shared" si="112"/>
        <v>0.51126068492676302</v>
      </c>
    </row>
    <row r="1341" spans="1:15" customFormat="1" hidden="1">
      <c r="A1341" t="str">
        <f>'Textile waste collection'!A48</f>
        <v>Footwear waste collection</v>
      </c>
      <c r="B1341" t="str">
        <f>'Textile waste collection'!B48</f>
        <v>Incineration</v>
      </c>
      <c r="C1341" t="str">
        <f>'Textile waste collection'!C48</f>
        <v>any</v>
      </c>
      <c r="D1341" t="str">
        <f>'Textile waste collection'!D48</f>
        <v>any</v>
      </c>
      <c r="E1341" t="str">
        <f>'Textile waste collection'!E48</f>
        <v>rest</v>
      </c>
      <c r="F1341">
        <f>'Textile waste collection'!F48</f>
        <v>1</v>
      </c>
      <c r="N1341" t="str">
        <f t="shared" si="111"/>
        <v/>
      </c>
      <c r="O1341" t="str">
        <f t="shared" si="112"/>
        <v/>
      </c>
    </row>
    <row r="1342" spans="1:15" customFormat="1" hidden="1">
      <c r="A1342" t="str">
        <f>'Textile waste collection'!A49</f>
        <v>Footwear waste collection</v>
      </c>
      <c r="B1342" t="str">
        <f>'Textile waste collection'!B49</f>
        <v>Landfill</v>
      </c>
      <c r="C1342" t="str">
        <f>'Textile waste collection'!C49</f>
        <v>any</v>
      </c>
      <c r="D1342" t="str">
        <f>'Textile waste collection'!D49</f>
        <v>any</v>
      </c>
      <c r="E1342">
        <f>'Textile waste collection'!E49</f>
        <v>3.0000000000000001E-3</v>
      </c>
      <c r="F1342">
        <f>'Textile waste collection'!F49</f>
        <v>2</v>
      </c>
      <c r="G1342" t="str">
        <f>'Textile waste collection'!G49</f>
        <v>Massabalans textiel, 2018</v>
      </c>
      <c r="H1342">
        <f>'Textile waste collection'!H49</f>
        <v>1</v>
      </c>
      <c r="I1342">
        <f>'Textile waste collection'!I49</f>
        <v>2</v>
      </c>
      <c r="J1342">
        <f>'Textile waste collection'!J49</f>
        <v>2</v>
      </c>
      <c r="K1342">
        <f>'Textile waste collection'!K49</f>
        <v>1</v>
      </c>
      <c r="L1342">
        <f>'Textile waste collection'!L49</f>
        <v>2</v>
      </c>
      <c r="M1342">
        <f>'Textile waste collection'!M49</f>
        <v>2</v>
      </c>
    </row>
    <row r="1343" spans="1:15" customFormat="1" hidden="1">
      <c r="A1343" t="str">
        <f>'Textile waste collection'!A50</f>
        <v>Footwear waste collection</v>
      </c>
      <c r="B1343" t="str">
        <f>'Textile waste collection'!B50</f>
        <v>Residential soil (macro)</v>
      </c>
      <c r="C1343" t="str">
        <f>'Textile waste collection'!C50</f>
        <v>any</v>
      </c>
      <c r="D1343" t="str">
        <f>'Textile waste collection'!D50</f>
        <v>any</v>
      </c>
      <c r="E1343">
        <f>'Textile waste collection'!E50</f>
        <v>1E-4</v>
      </c>
      <c r="F1343">
        <f>'Textile waste collection'!F50</f>
        <v>3</v>
      </c>
      <c r="G1343" t="str">
        <f>'Textile waste collection'!G50</f>
        <v>assumption based on similar losses estimated for other waste collection systems</v>
      </c>
      <c r="H1343">
        <f>'Textile waste collection'!H50</f>
        <v>1</v>
      </c>
      <c r="I1343">
        <f>'Textile waste collection'!I50</f>
        <v>2</v>
      </c>
      <c r="J1343">
        <f>'Textile waste collection'!J50</f>
        <v>2</v>
      </c>
      <c r="K1343">
        <f>'Textile waste collection'!K50</f>
        <v>1</v>
      </c>
      <c r="L1343">
        <f>'Textile waste collection'!L50</f>
        <v>2</v>
      </c>
      <c r="M1343">
        <f>'Textile waste collection'!M50</f>
        <v>2</v>
      </c>
      <c r="N1343">
        <f t="shared" ref="N1343:N1347" si="113">IF( OR( ISBLANK(H1343),ISBLANK(J1343), ISBLANK(K1343), ISBLANK(L1343), ISBLANK(M1343) ), "", 1.5*SQRT(   EXP(2.21*(H1343-1)) + EXP(2.21*(J1343-1)) + EXP(2.21*(K1343-1)) + EXP(2.21*(L1343-1)) + EXP(2.21*M1343)   )/100*2.45 )</f>
        <v>0.37356464144298934</v>
      </c>
      <c r="O1343">
        <f t="shared" ref="O1343:O1347" si="114">IF( OR( ISBLANK(I1343),ISBLANK(J1343), ISBLANK(K1343), ISBLANK(L1343), ISBLANK(M1343) ), "", 1.5*SQRT( EXP(2.21*(I1343-1)) + EXP(2.21*(J1343-1)) + EXP(2.21*(K1343-1)) + EXP(2.21*(L1343-1)) + EXP(2.21*M1343)   )/100*2.45 )</f>
        <v>0.38795788889711302</v>
      </c>
    </row>
    <row r="1344" spans="1:15" customFormat="1" hidden="1">
      <c r="A1344" t="str">
        <f>'Textile waste collection'!A51</f>
        <v>Footwear waste collection</v>
      </c>
      <c r="B1344" t="str">
        <f>'Textile waste collection'!B51</f>
        <v>Textile recycling</v>
      </c>
      <c r="C1344" t="str">
        <f>'Textile waste collection'!C51</f>
        <v>any</v>
      </c>
      <c r="D1344" t="str">
        <f>'Textile waste collection'!D51</f>
        <v>any</v>
      </c>
      <c r="E1344">
        <f>'Textile waste collection'!E51</f>
        <v>1E-3</v>
      </c>
      <c r="F1344">
        <f>'Textile waste collection'!F51</f>
        <v>3</v>
      </c>
      <c r="G1344" t="str">
        <f>'Textile waste collection'!G51</f>
        <v>Assume 0.01% recycling based on barely any collected footwear is recycled (de Waart et al., 2023)</v>
      </c>
      <c r="H1344">
        <f>'Textile waste collection'!H51</f>
        <v>2</v>
      </c>
      <c r="I1344">
        <f>'Textile waste collection'!I51</f>
        <v>2</v>
      </c>
      <c r="J1344">
        <f>'Textile waste collection'!J51</f>
        <v>2</v>
      </c>
      <c r="K1344">
        <f>'Textile waste collection'!K51</f>
        <v>3</v>
      </c>
      <c r="L1344">
        <f>'Textile waste collection'!L51</f>
        <v>2</v>
      </c>
      <c r="M1344">
        <f>'Textile waste collection'!M51</f>
        <v>2</v>
      </c>
      <c r="N1344">
        <f t="shared" si="113"/>
        <v>0.51126068492676302</v>
      </c>
      <c r="O1344">
        <f t="shared" si="114"/>
        <v>0.51126068492676302</v>
      </c>
    </row>
    <row r="1345" spans="1:15" hidden="1">
      <c r="A1345" s="7" t="str">
        <f>Clothing!A483</f>
        <v>Apparel accessories</v>
      </c>
      <c r="B1345" s="7" t="str">
        <f>Clothing!B483</f>
        <v>Clothing not washed (in use)</v>
      </c>
      <c r="C1345" s="7" t="str">
        <f>Clothing!C483</f>
        <v>any</v>
      </c>
      <c r="D1345" s="7" t="str">
        <f>Clothing!D483</f>
        <v>any</v>
      </c>
      <c r="E1345" s="7">
        <f>Clothing!E483</f>
        <v>3.0249999999999999E-3</v>
      </c>
      <c r="F1345" s="7">
        <f>Clothing!F483</f>
        <v>2</v>
      </c>
      <c r="G1345" s="7" t="str">
        <f>Clothing!G483</f>
        <v>Average loss during wear, Kawecki et al. 2019, SI table 17</v>
      </c>
      <c r="H1345">
        <f>Clothing!H483</f>
        <v>2</v>
      </c>
      <c r="I1345">
        <f>Clothing!I483</f>
        <v>2</v>
      </c>
      <c r="J1345">
        <f>Clothing!J483</f>
        <v>2</v>
      </c>
      <c r="K1345">
        <f>Clothing!K483</f>
        <v>2</v>
      </c>
      <c r="L1345">
        <f>Clothing!L483</f>
        <v>2</v>
      </c>
      <c r="M1345">
        <f>Clothing!M483</f>
        <v>2</v>
      </c>
      <c r="N1345" s="185">
        <f t="shared" si="113"/>
        <v>0.40183591897512122</v>
      </c>
      <c r="O1345" s="159">
        <f t="shared" si="114"/>
        <v>0.40183591897512122</v>
      </c>
    </row>
    <row r="1346" spans="1:15" hidden="1">
      <c r="A1346" s="7" t="str">
        <f>Clothing!A484</f>
        <v>Apparel accessories</v>
      </c>
      <c r="B1346" s="7" t="str">
        <f>Clothing!B484</f>
        <v>Clothing not washed (discarded)</v>
      </c>
      <c r="C1346" s="7" t="str">
        <f>Clothing!C484</f>
        <v>any</v>
      </c>
      <c r="D1346" s="7" t="str">
        <f>Clothing!D484</f>
        <v>any</v>
      </c>
      <c r="E1346" s="7" t="str">
        <f>Clothing!E484</f>
        <v>rest</v>
      </c>
      <c r="F1346" s="7">
        <f>Clothing!F484</f>
        <v>1</v>
      </c>
      <c r="H1346"/>
      <c r="I1346"/>
      <c r="J1346"/>
      <c r="K1346"/>
      <c r="L1346"/>
      <c r="M1346"/>
      <c r="N1346" s="185" t="str">
        <f t="shared" si="113"/>
        <v/>
      </c>
      <c r="O1346" s="159" t="str">
        <f t="shared" si="114"/>
        <v/>
      </c>
    </row>
    <row r="1347" spans="1:15">
      <c r="A1347" s="7" t="str">
        <f>Clothing!A485</f>
        <v>Jackets and coats</v>
      </c>
      <c r="B1347" s="7" t="str">
        <f>Clothing!B485</f>
        <v>Clothing rarely washed (in use)</v>
      </c>
      <c r="C1347" s="7" t="str">
        <f>Clothing!C485</f>
        <v>any</v>
      </c>
      <c r="D1347" s="7" t="str">
        <f>Clothing!D485</f>
        <v>any</v>
      </c>
      <c r="E1347" s="7">
        <f>Clothing!E485</f>
        <v>3.3880970500000003E-3</v>
      </c>
      <c r="F1347" s="7">
        <f>Clothing!F485</f>
        <v>2</v>
      </c>
      <c r="G1347" s="7" t="str">
        <f>Clothing!G485</f>
        <v>Computed from wearing, washing, drying TCs</v>
      </c>
      <c r="H1347">
        <f>Clothing!H485</f>
        <v>2</v>
      </c>
      <c r="I1347">
        <f>Clothing!I485</f>
        <v>2</v>
      </c>
      <c r="J1347">
        <f>Clothing!J485</f>
        <v>2</v>
      </c>
      <c r="K1347">
        <f>Clothing!K485</f>
        <v>2</v>
      </c>
      <c r="L1347">
        <f>Clothing!L485</f>
        <v>2</v>
      </c>
      <c r="M1347">
        <f>Clothing!M485</f>
        <v>2</v>
      </c>
      <c r="N1347" s="185">
        <f t="shared" si="113"/>
        <v>0.40183591897512122</v>
      </c>
      <c r="O1347" s="159">
        <f t="shared" si="114"/>
        <v>0.40183591897512122</v>
      </c>
    </row>
    <row r="1348" spans="1:15">
      <c r="A1348" s="7" t="str">
        <f>Clothing!A486</f>
        <v>Jackets and coats</v>
      </c>
      <c r="B1348" s="7" t="str">
        <f>Clothing!B486</f>
        <v>Clothing rarely washed (discarded)</v>
      </c>
      <c r="C1348" s="7" t="str">
        <f>Clothing!C486</f>
        <v>any</v>
      </c>
      <c r="D1348" s="7" t="str">
        <f>Clothing!D486</f>
        <v>any</v>
      </c>
      <c r="E1348" s="7" t="str">
        <f>Clothing!E486</f>
        <v>rest</v>
      </c>
      <c r="F1348" s="7">
        <f>Clothing!F486</f>
        <v>1</v>
      </c>
      <c r="H1348"/>
      <c r="I1348"/>
      <c r="J1348"/>
      <c r="K1348"/>
      <c r="L1348"/>
      <c r="M1348"/>
      <c r="N1348" s="185"/>
      <c r="O1348" s="159"/>
    </row>
    <row r="1349" spans="1:15" hidden="1">
      <c r="A1349" s="7" t="str">
        <f>Clothing!A487</f>
        <v>Dresses skirts and jumpsuits</v>
      </c>
      <c r="B1349" s="7" t="str">
        <f>Clothing!B487</f>
        <v>Clothing washed (in use)</v>
      </c>
      <c r="C1349" s="7" t="str">
        <f>Clothing!C487</f>
        <v>any</v>
      </c>
      <c r="D1349" s="7" t="str">
        <f>Clothing!D487</f>
        <v>any</v>
      </c>
      <c r="E1349" s="7">
        <f>Clothing!E487</f>
        <v>1.3554814450000001E-2</v>
      </c>
      <c r="F1349" s="7">
        <f>Clothing!F487</f>
        <v>2</v>
      </c>
      <c r="G1349" s="7" t="str">
        <f>Clothing!G487</f>
        <v>Computed from wearing, washing, drying TCs</v>
      </c>
      <c r="H1349">
        <f>Clothing!H487</f>
        <v>2</v>
      </c>
      <c r="I1349">
        <f>Clothing!I487</f>
        <v>2</v>
      </c>
      <c r="J1349">
        <f>Clothing!J487</f>
        <v>2</v>
      </c>
      <c r="K1349">
        <f>Clothing!K487</f>
        <v>2</v>
      </c>
      <c r="L1349">
        <f>Clothing!L487</f>
        <v>2</v>
      </c>
      <c r="M1349">
        <f>Clothing!M487</f>
        <v>2</v>
      </c>
      <c r="N1349" s="185">
        <f t="shared" ref="N1349:N1351" si="115">IF( OR( ISBLANK(H1349),ISBLANK(J1349), ISBLANK(K1349), ISBLANK(L1349), ISBLANK(M1349) ), "", 1.5*SQRT(   EXP(2.21*(H1349-1)) + EXP(2.21*(J1349-1)) + EXP(2.21*(K1349-1)) + EXP(2.21*(L1349-1)) + EXP(2.21*M1349)   )/100*2.45 )</f>
        <v>0.40183591897512122</v>
      </c>
      <c r="O1349" s="159">
        <f t="shared" ref="O1349:O1351" si="116">IF( OR( ISBLANK(I1349),ISBLANK(J1349), ISBLANK(K1349), ISBLANK(L1349), ISBLANK(M1349) ), "", 1.5*SQRT( EXP(2.21*(I1349-1)) + EXP(2.21*(J1349-1)) + EXP(2.21*(K1349-1)) + EXP(2.21*(L1349-1)) + EXP(2.21*M1349)   )/100*2.45 )</f>
        <v>0.40183591897512122</v>
      </c>
    </row>
    <row r="1350" spans="1:15" hidden="1">
      <c r="A1350" s="7" t="str">
        <f>Clothing!A488</f>
        <v>Dresses skirts and jumpsuits</v>
      </c>
      <c r="B1350" s="7" t="str">
        <f>Clothing!B488</f>
        <v>Clothing washed (discarded)</v>
      </c>
      <c r="C1350" s="7" t="str">
        <f>Clothing!C488</f>
        <v>any</v>
      </c>
      <c r="D1350" s="7" t="str">
        <f>Clothing!D488</f>
        <v>any</v>
      </c>
      <c r="E1350" s="7" t="str">
        <f>Clothing!E488</f>
        <v>rest</v>
      </c>
      <c r="F1350" s="7">
        <f>Clothing!F488</f>
        <v>1</v>
      </c>
      <c r="H1350"/>
      <c r="I1350"/>
      <c r="J1350"/>
      <c r="K1350"/>
      <c r="L1350"/>
      <c r="M1350"/>
      <c r="N1350" s="185" t="str">
        <f t="shared" si="115"/>
        <v/>
      </c>
      <c r="O1350" s="159" t="str">
        <f t="shared" si="116"/>
        <v/>
      </c>
    </row>
    <row r="1351" spans="1:15" hidden="1">
      <c r="A1351" s="7" t="str">
        <f>Clothing!A489</f>
        <v>Leggings stockings tights and socks</v>
      </c>
      <c r="B1351" s="7" t="str">
        <f>Clothing!B489</f>
        <v>Clothing washed (in use)</v>
      </c>
      <c r="C1351" s="7" t="str">
        <f>Clothing!C489</f>
        <v>any</v>
      </c>
      <c r="D1351" s="7" t="str">
        <f>Clothing!D489</f>
        <v>any</v>
      </c>
      <c r="E1351" s="7">
        <f>Clothing!E489</f>
        <v>1.3554814450000001E-2</v>
      </c>
      <c r="F1351" s="7">
        <f>Clothing!F489</f>
        <v>2</v>
      </c>
      <c r="G1351" s="7" t="str">
        <f>Clothing!G489</f>
        <v>Computed from wearing, washing, drying TCs</v>
      </c>
      <c r="H1351">
        <f>Clothing!H489</f>
        <v>2</v>
      </c>
      <c r="I1351">
        <f>Clothing!I489</f>
        <v>2</v>
      </c>
      <c r="J1351">
        <f>Clothing!J489</f>
        <v>2</v>
      </c>
      <c r="K1351">
        <f>Clothing!K489</f>
        <v>2</v>
      </c>
      <c r="L1351">
        <f>Clothing!L489</f>
        <v>2</v>
      </c>
      <c r="M1351">
        <f>Clothing!M489</f>
        <v>2</v>
      </c>
      <c r="N1351" s="936">
        <f t="shared" si="115"/>
        <v>0.40183591897512122</v>
      </c>
      <c r="O1351" s="159">
        <f t="shared" si="116"/>
        <v>0.40183591897512122</v>
      </c>
    </row>
    <row r="1352" spans="1:15" hidden="1">
      <c r="A1352" s="7" t="str">
        <f>Clothing!A490</f>
        <v>Leggings stockings tights and socks</v>
      </c>
      <c r="B1352" s="7" t="str">
        <f>Clothing!B490</f>
        <v>Clothing washed (discarded)</v>
      </c>
      <c r="C1352" s="7" t="str">
        <f>Clothing!C490</f>
        <v>any</v>
      </c>
      <c r="D1352" s="7" t="str">
        <f>Clothing!D490</f>
        <v>any</v>
      </c>
      <c r="E1352" s="7" t="str">
        <f>Clothing!E490</f>
        <v>rest</v>
      </c>
      <c r="F1352" s="7">
        <f>Clothing!F490</f>
        <v>1</v>
      </c>
      <c r="H1352"/>
      <c r="I1352"/>
      <c r="J1352"/>
      <c r="K1352"/>
      <c r="L1352"/>
      <c r="M1352"/>
      <c r="N1352" s="990"/>
      <c r="O1352" s="813"/>
    </row>
    <row r="1353" spans="1:15" hidden="1">
      <c r="A1353" s="7" t="str">
        <f>Clothing!A491</f>
        <v>Pants and shorts</v>
      </c>
      <c r="B1353" s="7" t="str">
        <f>Clothing!B491</f>
        <v>Clothing washed (in use)</v>
      </c>
      <c r="C1353" s="7" t="str">
        <f>Clothing!C491</f>
        <v>any</v>
      </c>
      <c r="D1353" s="7" t="str">
        <f>Clothing!D491</f>
        <v>any</v>
      </c>
      <c r="E1353" s="7">
        <f>Clothing!E491</f>
        <v>1.3554814450000001E-2</v>
      </c>
      <c r="F1353" s="7">
        <f>Clothing!F491</f>
        <v>2</v>
      </c>
      <c r="G1353" s="7" t="str">
        <f>Clothing!G491</f>
        <v>Computed from wearing, washing, drying TCs</v>
      </c>
      <c r="H1353">
        <f>Clothing!H491</f>
        <v>2</v>
      </c>
      <c r="I1353">
        <f>Clothing!I491</f>
        <v>2</v>
      </c>
      <c r="J1353">
        <f>Clothing!J491</f>
        <v>2</v>
      </c>
      <c r="K1353">
        <f>Clothing!K491</f>
        <v>2</v>
      </c>
      <c r="L1353">
        <f>Clothing!L491</f>
        <v>2</v>
      </c>
      <c r="M1353">
        <f>Clothing!M491</f>
        <v>2</v>
      </c>
      <c r="N1353" s="64">
        <f t="shared" ref="N1353:N1357" si="117">IF( OR( ISBLANK(H1353),ISBLANK(J1353), ISBLANK(K1353), ISBLANK(L1353), ISBLANK(M1353) ), "", 1.5*SQRT(   EXP(2.21*(H1353-1)) + EXP(2.21*(J1353-1)) + EXP(2.21*(K1353-1)) + EXP(2.21*(L1353-1)) + EXP(2.21*M1353)   )/100*2.45 )</f>
        <v>0.40183591897512122</v>
      </c>
      <c r="O1353" s="64">
        <f t="shared" ref="O1353:O1357" si="118">IF( OR( ISBLANK(I1353),ISBLANK(J1353), ISBLANK(K1353), ISBLANK(L1353), ISBLANK(M1353) ), "", 1.5*SQRT( EXP(2.21*(I1353-1)) + EXP(2.21*(J1353-1)) + EXP(2.21*(K1353-1)) + EXP(2.21*(L1353-1)) + EXP(2.21*M1353)   )/100*2.45 )</f>
        <v>0.40183591897512122</v>
      </c>
    </row>
    <row r="1354" spans="1:15" ht="15" hidden="1" thickBot="1">
      <c r="A1354" s="7" t="str">
        <f>Clothing!A492</f>
        <v>Pants and shorts</v>
      </c>
      <c r="B1354" s="7" t="str">
        <f>Clothing!B492</f>
        <v>Clothing washed (discarded)</v>
      </c>
      <c r="C1354" s="7" t="str">
        <f>Clothing!C492</f>
        <v>any</v>
      </c>
      <c r="D1354" s="7" t="str">
        <f>Clothing!D492</f>
        <v>any</v>
      </c>
      <c r="E1354" s="7" t="str">
        <f>Clothing!E492</f>
        <v>rest</v>
      </c>
      <c r="F1354" s="7">
        <f>Clothing!F492</f>
        <v>1</v>
      </c>
      <c r="H1354"/>
      <c r="I1354"/>
      <c r="J1354"/>
      <c r="K1354"/>
      <c r="L1354"/>
      <c r="M1354"/>
      <c r="N1354" s="991" t="str">
        <f t="shared" si="117"/>
        <v/>
      </c>
      <c r="O1354" s="989" t="str">
        <f t="shared" si="118"/>
        <v/>
      </c>
    </row>
    <row r="1355" spans="1:15" hidden="1">
      <c r="A1355" s="7" t="str">
        <f>Clothing!A493</f>
        <v>Shirts and blouses</v>
      </c>
      <c r="B1355" s="7" t="str">
        <f>Clothing!B493</f>
        <v>Clothing washed (in use)</v>
      </c>
      <c r="C1355" s="7" t="str">
        <f>Clothing!C493</f>
        <v>any</v>
      </c>
      <c r="D1355" s="7" t="str">
        <f>Clothing!D493</f>
        <v>any</v>
      </c>
      <c r="E1355" s="7">
        <f>Clothing!E493</f>
        <v>1.3554814450000001E-2</v>
      </c>
      <c r="F1355" s="7">
        <f>Clothing!F493</f>
        <v>2</v>
      </c>
      <c r="G1355" s="7" t="str">
        <f>Clothing!G493</f>
        <v>Computed from wearing, washing, drying TCs</v>
      </c>
      <c r="H1355">
        <f>Clothing!H493</f>
        <v>2</v>
      </c>
      <c r="I1355">
        <f>Clothing!I493</f>
        <v>2</v>
      </c>
      <c r="J1355">
        <f>Clothing!J493</f>
        <v>2</v>
      </c>
      <c r="K1355">
        <f>Clothing!K493</f>
        <v>2</v>
      </c>
      <c r="L1355">
        <f>Clothing!L493</f>
        <v>2</v>
      </c>
      <c r="M1355">
        <f>Clothing!M493</f>
        <v>2</v>
      </c>
      <c r="N1355" s="185">
        <f t="shared" si="117"/>
        <v>0.40183591897512122</v>
      </c>
      <c r="O1355" s="159">
        <f t="shared" si="118"/>
        <v>0.40183591897512122</v>
      </c>
    </row>
    <row r="1356" spans="1:15" hidden="1">
      <c r="A1356" s="7" t="str">
        <f>Clothing!A494</f>
        <v>Shirts and blouses</v>
      </c>
      <c r="B1356" s="7" t="str">
        <f>Clothing!B494</f>
        <v>Clothing washed (discarded)</v>
      </c>
      <c r="C1356" s="7" t="str">
        <f>Clothing!C494</f>
        <v>any</v>
      </c>
      <c r="D1356" s="7" t="str">
        <f>Clothing!D494</f>
        <v>any</v>
      </c>
      <c r="E1356" s="7" t="str">
        <f>Clothing!E494</f>
        <v>rest</v>
      </c>
      <c r="F1356" s="7">
        <f>Clothing!F494</f>
        <v>1</v>
      </c>
      <c r="H1356"/>
      <c r="I1356"/>
      <c r="J1356"/>
      <c r="K1356"/>
      <c r="L1356"/>
      <c r="M1356"/>
      <c r="N1356" s="185" t="str">
        <f t="shared" si="117"/>
        <v/>
      </c>
      <c r="O1356" s="159" t="str">
        <f t="shared" si="118"/>
        <v/>
      </c>
    </row>
    <row r="1357" spans="1:15" hidden="1">
      <c r="A1357" s="7" t="str">
        <f>Clothing!A495</f>
        <v>Sweaters and midlayers</v>
      </c>
      <c r="B1357" s="7" t="str">
        <f>Clothing!B495</f>
        <v>Clothing washed (in use)</v>
      </c>
      <c r="C1357" s="7" t="str">
        <f>Clothing!C495</f>
        <v>any</v>
      </c>
      <c r="D1357" s="7" t="str">
        <f>Clothing!D495</f>
        <v>any</v>
      </c>
      <c r="E1357" s="7">
        <f>Clothing!E495</f>
        <v>1.3554814450000001E-2</v>
      </c>
      <c r="F1357" s="7">
        <f>Clothing!F495</f>
        <v>2</v>
      </c>
      <c r="G1357" s="7" t="str">
        <f>Clothing!G495</f>
        <v>Computed from wearing, washing, drying TCs</v>
      </c>
      <c r="H1357">
        <f>Clothing!H495</f>
        <v>2</v>
      </c>
      <c r="I1357">
        <f>Clothing!I495</f>
        <v>2</v>
      </c>
      <c r="J1357">
        <f>Clothing!J495</f>
        <v>2</v>
      </c>
      <c r="K1357">
        <f>Clothing!K495</f>
        <v>2</v>
      </c>
      <c r="L1357">
        <f>Clothing!L495</f>
        <v>2</v>
      </c>
      <c r="M1357">
        <f>Clothing!M495</f>
        <v>2</v>
      </c>
      <c r="N1357" s="185">
        <f t="shared" si="117"/>
        <v>0.40183591897512122</v>
      </c>
      <c r="O1357" s="159">
        <f t="shared" si="118"/>
        <v>0.40183591897512122</v>
      </c>
    </row>
    <row r="1358" spans="1:15" hidden="1">
      <c r="A1358" s="7" t="str">
        <f>Clothing!A496</f>
        <v>Sweaters and midlayers</v>
      </c>
      <c r="B1358" s="7" t="str">
        <f>Clothing!B496</f>
        <v>Clothing washed (discarded)</v>
      </c>
      <c r="C1358" s="7" t="str">
        <f>Clothing!C496</f>
        <v>any</v>
      </c>
      <c r="D1358" s="7" t="str">
        <f>Clothing!D496</f>
        <v>any</v>
      </c>
      <c r="E1358" s="7" t="str">
        <f>Clothing!E496</f>
        <v>rest</v>
      </c>
      <c r="F1358" s="7">
        <f>Clothing!F496</f>
        <v>1</v>
      </c>
      <c r="H1358"/>
      <c r="I1358"/>
      <c r="J1358"/>
      <c r="K1358"/>
      <c r="L1358"/>
      <c r="M1358"/>
      <c r="N1358" s="185"/>
      <c r="O1358" s="159"/>
    </row>
    <row r="1359" spans="1:15" hidden="1">
      <c r="A1359" s="7" t="str">
        <f>Clothing!A497</f>
        <v>Swimwear</v>
      </c>
      <c r="B1359" s="7" t="str">
        <f>Clothing!B497</f>
        <v>Clothing washed (in use)</v>
      </c>
      <c r="C1359" s="7" t="str">
        <f>Clothing!C497</f>
        <v>any</v>
      </c>
      <c r="D1359" s="7" t="str">
        <f>Clothing!D497</f>
        <v>any</v>
      </c>
      <c r="E1359" s="7">
        <f>Clothing!E497</f>
        <v>1.3554814450000001E-2</v>
      </c>
      <c r="F1359" s="7">
        <f>Clothing!F497</f>
        <v>2</v>
      </c>
      <c r="G1359" s="7" t="str">
        <f>Clothing!G497</f>
        <v>Computed from wearing, washing, drying TCs</v>
      </c>
      <c r="H1359">
        <f>Clothing!H497</f>
        <v>2</v>
      </c>
      <c r="I1359">
        <f>Clothing!I497</f>
        <v>2</v>
      </c>
      <c r="J1359">
        <f>Clothing!J497</f>
        <v>2</v>
      </c>
      <c r="K1359">
        <f>Clothing!K497</f>
        <v>2</v>
      </c>
      <c r="L1359">
        <f>Clothing!L497</f>
        <v>2</v>
      </c>
      <c r="M1359">
        <f>Clothing!M497</f>
        <v>2</v>
      </c>
      <c r="N1359" s="185">
        <f t="shared" ref="N1359:N1361" si="119">IF( OR( ISBLANK(H1359),ISBLANK(J1359), ISBLANK(K1359), ISBLANK(L1359), ISBLANK(M1359) ), "", 1.5*SQRT(   EXP(2.21*(H1359-1)) + EXP(2.21*(J1359-1)) + EXP(2.21*(K1359-1)) + EXP(2.21*(L1359-1)) + EXP(2.21*M1359)   )/100*2.45 )</f>
        <v>0.40183591897512122</v>
      </c>
      <c r="O1359" s="159">
        <f t="shared" ref="O1359:O1361" si="120">IF( OR( ISBLANK(I1359),ISBLANK(J1359), ISBLANK(K1359), ISBLANK(L1359), ISBLANK(M1359) ), "", 1.5*SQRT( EXP(2.21*(I1359-1)) + EXP(2.21*(J1359-1)) + EXP(2.21*(K1359-1)) + EXP(2.21*(L1359-1)) + EXP(2.21*M1359)   )/100*2.45 )</f>
        <v>0.40183591897512122</v>
      </c>
    </row>
    <row r="1360" spans="1:15" hidden="1">
      <c r="A1360" s="7" t="str">
        <f>Clothing!A498</f>
        <v>Swimwear</v>
      </c>
      <c r="B1360" s="7" t="str">
        <f>Clothing!B498</f>
        <v>Clothing washed (discarded)</v>
      </c>
      <c r="C1360" s="7" t="str">
        <f>Clothing!C498</f>
        <v>any</v>
      </c>
      <c r="D1360" s="7" t="str">
        <f>Clothing!D498</f>
        <v>any</v>
      </c>
      <c r="E1360" s="7" t="str">
        <f>Clothing!E498</f>
        <v>rest</v>
      </c>
      <c r="F1360" s="7">
        <f>Clothing!F498</f>
        <v>1</v>
      </c>
      <c r="H1360"/>
      <c r="I1360"/>
      <c r="J1360"/>
      <c r="K1360"/>
      <c r="L1360"/>
      <c r="M1360"/>
      <c r="N1360" s="185" t="str">
        <f t="shared" si="119"/>
        <v/>
      </c>
      <c r="O1360" s="159" t="str">
        <f t="shared" si="120"/>
        <v/>
      </c>
    </row>
    <row r="1361" spans="1:15" hidden="1">
      <c r="A1361" s="7" t="str">
        <f>Clothing!A499</f>
        <v>T-shirts</v>
      </c>
      <c r="B1361" s="7" t="str">
        <f>Clothing!B499</f>
        <v>Clothing washed (in use)</v>
      </c>
      <c r="C1361" s="7" t="str">
        <f>Clothing!C499</f>
        <v>any</v>
      </c>
      <c r="D1361" s="7" t="str">
        <f>Clothing!D499</f>
        <v>any</v>
      </c>
      <c r="E1361" s="7">
        <f>Clothing!E499</f>
        <v>1.3554814450000001E-2</v>
      </c>
      <c r="F1361" s="7">
        <f>Clothing!F499</f>
        <v>2</v>
      </c>
      <c r="G1361" s="7" t="str">
        <f>Clothing!G499</f>
        <v>Computed from wearing, washing, drying TCs</v>
      </c>
      <c r="H1361">
        <f>Clothing!H499</f>
        <v>2</v>
      </c>
      <c r="I1361">
        <f>Clothing!I499</f>
        <v>2</v>
      </c>
      <c r="J1361">
        <f>Clothing!J499</f>
        <v>2</v>
      </c>
      <c r="K1361">
        <f>Clothing!K499</f>
        <v>2</v>
      </c>
      <c r="L1361">
        <f>Clothing!L499</f>
        <v>2</v>
      </c>
      <c r="M1361">
        <f>Clothing!M499</f>
        <v>2</v>
      </c>
      <c r="N1361" s="936">
        <f t="shared" si="119"/>
        <v>0.40183591897512122</v>
      </c>
      <c r="O1361" s="159">
        <f t="shared" si="120"/>
        <v>0.40183591897512122</v>
      </c>
    </row>
    <row r="1362" spans="1:15" hidden="1">
      <c r="A1362" s="7" t="str">
        <f>Clothing!A500</f>
        <v>T-shirts</v>
      </c>
      <c r="B1362" s="7" t="str">
        <f>Clothing!B500</f>
        <v>Clothing washed (discarded)</v>
      </c>
      <c r="C1362" s="7" t="str">
        <f>Clothing!C500</f>
        <v>any</v>
      </c>
      <c r="D1362" s="7" t="str">
        <f>Clothing!D500</f>
        <v>any</v>
      </c>
      <c r="E1362" s="7" t="str">
        <f>Clothing!E500</f>
        <v>rest</v>
      </c>
      <c r="F1362" s="7">
        <f>Clothing!F500</f>
        <v>1</v>
      </c>
      <c r="H1362"/>
      <c r="I1362"/>
      <c r="J1362"/>
      <c r="K1362"/>
      <c r="L1362"/>
      <c r="M1362"/>
      <c r="N1362" s="990"/>
      <c r="O1362" s="813"/>
    </row>
    <row r="1363" spans="1:15" hidden="1">
      <c r="A1363" s="7" t="str">
        <f>Clothing!A501</f>
        <v>Underwear</v>
      </c>
      <c r="B1363" s="7" t="str">
        <f>Clothing!B501</f>
        <v>Clothing washed (in use)</v>
      </c>
      <c r="C1363" s="7" t="str">
        <f>Clothing!C501</f>
        <v>any</v>
      </c>
      <c r="D1363" s="7" t="str">
        <f>Clothing!D501</f>
        <v>any</v>
      </c>
      <c r="E1363" s="7">
        <f>Clothing!E501</f>
        <v>1.3554814450000001E-2</v>
      </c>
      <c r="F1363" s="7">
        <f>Clothing!F501</f>
        <v>2</v>
      </c>
      <c r="G1363" s="7" t="str">
        <f>Clothing!G501</f>
        <v>Computed from wearing, washing, drying TCs</v>
      </c>
      <c r="H1363">
        <f>Clothing!H501</f>
        <v>2</v>
      </c>
      <c r="I1363">
        <f>Clothing!I501</f>
        <v>2</v>
      </c>
      <c r="J1363">
        <f>Clothing!J501</f>
        <v>2</v>
      </c>
      <c r="K1363">
        <f>Clothing!K501</f>
        <v>2</v>
      </c>
      <c r="L1363">
        <f>Clothing!L501</f>
        <v>2</v>
      </c>
      <c r="M1363">
        <f>Clothing!M501</f>
        <v>2</v>
      </c>
      <c r="N1363" s="64">
        <f t="shared" ref="N1363:N1366" si="121">IF( OR( ISBLANK(H1363),ISBLANK(J1363), ISBLANK(K1363), ISBLANK(L1363), ISBLANK(M1363) ), "", 1.5*SQRT(   EXP(2.21*(H1363-1)) + EXP(2.21*(J1363-1)) + EXP(2.21*(K1363-1)) + EXP(2.21*(L1363-1)) + EXP(2.21*M1363)   )/100*2.45 )</f>
        <v>0.40183591897512122</v>
      </c>
      <c r="O1363" s="64">
        <f t="shared" ref="O1363:O1366" si="122">IF( OR( ISBLANK(I1363),ISBLANK(J1363), ISBLANK(K1363), ISBLANK(L1363), ISBLANK(M1363) ), "", 1.5*SQRT( EXP(2.21*(I1363-1)) + EXP(2.21*(J1363-1)) + EXP(2.21*(K1363-1)) + EXP(2.21*(L1363-1)) + EXP(2.21*M1363)   )/100*2.45 )</f>
        <v>0.40183591897512122</v>
      </c>
    </row>
    <row r="1364" spans="1:15" ht="15" hidden="1" thickBot="1">
      <c r="A1364" s="997" t="str">
        <f>Clothing!A502</f>
        <v>Underwear</v>
      </c>
      <c r="B1364" s="997" t="str">
        <f>Clothing!B502</f>
        <v>Clothing washed (discarded)</v>
      </c>
      <c r="C1364" s="997" t="str">
        <f>Clothing!C502</f>
        <v>any</v>
      </c>
      <c r="D1364" s="997" t="str">
        <f>Clothing!D502</f>
        <v>any</v>
      </c>
      <c r="E1364" s="997" t="str">
        <f>Clothing!E502</f>
        <v>rest</v>
      </c>
      <c r="F1364" s="997">
        <f>Clothing!F502</f>
        <v>1</v>
      </c>
      <c r="G1364" s="997"/>
      <c r="H1364"/>
      <c r="I1364"/>
      <c r="J1364"/>
      <c r="K1364"/>
      <c r="L1364"/>
      <c r="M1364"/>
      <c r="N1364" s="185" t="str">
        <f t="shared" si="121"/>
        <v/>
      </c>
      <c r="O1364" s="159" t="str">
        <f t="shared" si="122"/>
        <v/>
      </c>
    </row>
    <row r="1365" spans="1:15" hidden="1">
      <c r="A1365" s="7" t="str">
        <f>Clothing!A505</f>
        <v>Clothing washed (in use)</v>
      </c>
      <c r="B1365" s="7" t="str">
        <f>Clothing!B505</f>
        <v>Clothing wearing</v>
      </c>
      <c r="C1365" s="7" t="str">
        <f>Clothing!C505</f>
        <v>any</v>
      </c>
      <c r="D1365" s="7" t="str">
        <f>Clothing!D505</f>
        <v>any</v>
      </c>
      <c r="E1365" s="7">
        <f>Clothing!E505</f>
        <v>0.22316793868026719</v>
      </c>
      <c r="F1365" s="7">
        <f>Clothing!F505</f>
        <v>2</v>
      </c>
      <c r="G1365" s="7" t="str">
        <f>Clothing!G505</f>
        <v>Average loss during wear, Kawecki et al. 2019, SI table 17</v>
      </c>
      <c r="H1365">
        <f>Clothing!H505</f>
        <v>2</v>
      </c>
      <c r="I1365">
        <f>Clothing!I505</f>
        <v>2</v>
      </c>
      <c r="J1365">
        <f>Clothing!J505</f>
        <v>2</v>
      </c>
      <c r="K1365">
        <f>Clothing!K505</f>
        <v>2</v>
      </c>
      <c r="L1365">
        <f>Clothing!L505</f>
        <v>2</v>
      </c>
      <c r="M1365">
        <f>Clothing!M505</f>
        <v>2</v>
      </c>
      <c r="N1365" s="185">
        <f t="shared" si="121"/>
        <v>0.40183591897512122</v>
      </c>
      <c r="O1365" s="159">
        <f t="shared" si="122"/>
        <v>0.40183591897512122</v>
      </c>
    </row>
    <row r="1366" spans="1:15" hidden="1">
      <c r="A1366" s="7" t="str">
        <f>Clothing!A506</f>
        <v>Clothing washed (in use)</v>
      </c>
      <c r="B1366" s="7" t="str">
        <f>Clothing!B506</f>
        <v>Clothing washing</v>
      </c>
      <c r="C1366" s="7" t="str">
        <f>Clothing!C506</f>
        <v>any</v>
      </c>
      <c r="D1366" s="7" t="str">
        <f>Clothing!D506</f>
        <v>any</v>
      </c>
      <c r="E1366" s="7">
        <f>Clothing!E506</f>
        <v>0.7390620127596067</v>
      </c>
      <c r="F1366" s="7">
        <f>Clothing!F506</f>
        <v>2</v>
      </c>
      <c r="G1366" s="7" t="str">
        <f>Clothing!G506</f>
        <v>Computed from available data from Kawecki et al. (2019) and CBS (2022)</v>
      </c>
      <c r="H1366">
        <f>Clothing!H506</f>
        <v>2</v>
      </c>
      <c r="I1366">
        <f>Clothing!I506</f>
        <v>2</v>
      </c>
      <c r="J1366">
        <f>Clothing!J506</f>
        <v>2</v>
      </c>
      <c r="K1366">
        <f>Clothing!K506</f>
        <v>2</v>
      </c>
      <c r="L1366">
        <f>Clothing!L506</f>
        <v>2</v>
      </c>
      <c r="M1366">
        <f>Clothing!M506</f>
        <v>2</v>
      </c>
      <c r="N1366" s="185">
        <f t="shared" si="121"/>
        <v>0.40183591897512122</v>
      </c>
      <c r="O1366" s="159">
        <f t="shared" si="122"/>
        <v>0.40183591897512122</v>
      </c>
    </row>
    <row r="1367" spans="1:15" hidden="1">
      <c r="A1367" s="7" t="str">
        <f>Clothing!A507</f>
        <v>Clothing washed (in use)</v>
      </c>
      <c r="B1367" s="7" t="str">
        <f>Clothing!B507</f>
        <v>Clothing drying</v>
      </c>
      <c r="C1367" s="7" t="str">
        <f>Clothing!C507</f>
        <v>any</v>
      </c>
      <c r="D1367" s="7" t="str">
        <f>Clothing!D507</f>
        <v>any</v>
      </c>
      <c r="E1367" s="7">
        <f>Clothing!E507</f>
        <v>3.7770048560126175E-2</v>
      </c>
      <c r="F1367" s="7">
        <f>Clothing!F507</f>
        <v>2</v>
      </c>
      <c r="G1367" s="7" t="str">
        <f>Clothing!G507</f>
        <v>Computed from available data from Kawecki et al. (2019)</v>
      </c>
      <c r="H1367">
        <f>Clothing!H507</f>
        <v>2</v>
      </c>
      <c r="I1367">
        <f>Clothing!I507</f>
        <v>2</v>
      </c>
      <c r="J1367">
        <f>Clothing!J507</f>
        <v>2</v>
      </c>
      <c r="K1367">
        <f>Clothing!K507</f>
        <v>2</v>
      </c>
      <c r="L1367">
        <f>Clothing!L507</f>
        <v>2</v>
      </c>
      <c r="M1367">
        <f>Clothing!M507</f>
        <v>2</v>
      </c>
      <c r="N1367" s="185"/>
      <c r="O1367" s="159"/>
    </row>
    <row r="1368" spans="1:15" hidden="1">
      <c r="A1368" s="7" t="str">
        <f>Clothing!A508</f>
        <v>Clothing washed (discarded)</v>
      </c>
      <c r="B1368" s="7" t="str">
        <f>Clothing!B508</f>
        <v>Clothing waste collection</v>
      </c>
      <c r="C1368" s="7" t="str">
        <f>Clothing!C508</f>
        <v>any</v>
      </c>
      <c r="D1368" s="7" t="str">
        <f>Clothing!D508</f>
        <v>any</v>
      </c>
      <c r="E1368" s="7">
        <f>Clothing!E508</f>
        <v>0.50465116279069766</v>
      </c>
      <c r="F1368" s="7">
        <f>Clothing!F508</f>
        <v>2</v>
      </c>
      <c r="G1368" s="7" t="str">
        <f>Clothing!G508</f>
        <v>Massabalans textiel, 2022</v>
      </c>
      <c r="H1368">
        <f>Clothing!H508</f>
        <v>1</v>
      </c>
      <c r="I1368">
        <f>Clothing!I508</f>
        <v>2</v>
      </c>
      <c r="J1368">
        <f>Clothing!J508</f>
        <v>2</v>
      </c>
      <c r="K1368">
        <f>Clothing!K508</f>
        <v>1</v>
      </c>
      <c r="L1368">
        <f>Clothing!L508</f>
        <v>2</v>
      </c>
      <c r="M1368">
        <f>Clothing!M508</f>
        <v>2</v>
      </c>
      <c r="N1368" s="185">
        <f t="shared" ref="N1368:N1370" si="123">IF( OR( ISBLANK(H1368),ISBLANK(J1368), ISBLANK(K1368), ISBLANK(L1368), ISBLANK(M1368) ), "", 1.5*SQRT(   EXP(2.21*(H1368-1)) + EXP(2.21*(J1368-1)) + EXP(2.21*(K1368-1)) + EXP(2.21*(L1368-1)) + EXP(2.21*M1368)   )/100*2.45 )</f>
        <v>0.37356464144298934</v>
      </c>
      <c r="O1368" s="159">
        <f t="shared" ref="O1368:O1370" si="124">IF( OR( ISBLANK(I1368),ISBLANK(J1368), ISBLANK(K1368), ISBLANK(L1368), ISBLANK(M1368) ), "", 1.5*SQRT( EXP(2.21*(I1368-1)) + EXP(2.21*(J1368-1)) + EXP(2.21*(K1368-1)) + EXP(2.21*(L1368-1)) + EXP(2.21*M1368)   )/100*2.45 )</f>
        <v>0.38795788889711302</v>
      </c>
    </row>
    <row r="1369" spans="1:15" hidden="1">
      <c r="A1369" s="7" t="str">
        <f>Clothing!A509</f>
        <v>Clothing washed (discarded)</v>
      </c>
      <c r="B1369" s="7" t="str">
        <f>Clothing!B509</f>
        <v>Mixed waste collection</v>
      </c>
      <c r="C1369" s="7" t="str">
        <f>Clothing!C509</f>
        <v>any</v>
      </c>
      <c r="D1369" s="7" t="str">
        <f>Clothing!D509</f>
        <v>any</v>
      </c>
      <c r="E1369" s="7" t="str">
        <f>Clothing!E509</f>
        <v>rest</v>
      </c>
      <c r="F1369" s="7">
        <f>Clothing!F509</f>
        <v>1</v>
      </c>
      <c r="H1369"/>
      <c r="I1369"/>
      <c r="J1369"/>
      <c r="K1369"/>
      <c r="L1369"/>
      <c r="M1369"/>
      <c r="N1369" s="185"/>
      <c r="O1369" s="159"/>
    </row>
    <row r="1370" spans="1:15" hidden="1">
      <c r="A1370" s="7" t="str">
        <f>Clothing!A510</f>
        <v>Clothing washed (discarded)</v>
      </c>
      <c r="B1370" s="7" t="str">
        <f>Clothing!B510</f>
        <v>Dumping</v>
      </c>
      <c r="C1370" s="7" t="str">
        <f>Clothing!C510</f>
        <v>any</v>
      </c>
      <c r="D1370" s="7" t="str">
        <f>Clothing!D510</f>
        <v>any</v>
      </c>
      <c r="E1370" s="7">
        <f>Clothing!E510</f>
        <v>2.7E-4</v>
      </c>
      <c r="F1370" s="7">
        <f>Clothing!F510</f>
        <v>2</v>
      </c>
      <c r="G1370" s="7" t="str">
        <f>Clothing!G510</f>
        <v>Kawecki &amp; Nowack (2019)</v>
      </c>
      <c r="H1370">
        <f>Clothing!H510</f>
        <v>2</v>
      </c>
      <c r="I1370">
        <f>Clothing!I510</f>
        <v>2</v>
      </c>
      <c r="J1370">
        <f>Clothing!J510</f>
        <v>2</v>
      </c>
      <c r="K1370">
        <f>Clothing!K510</f>
        <v>3</v>
      </c>
      <c r="L1370">
        <f>Clothing!L510</f>
        <v>3</v>
      </c>
      <c r="M1370">
        <f>Clothing!M510</f>
        <v>3</v>
      </c>
      <c r="N1370" s="936">
        <f t="shared" si="123"/>
        <v>1.1278755061256258</v>
      </c>
      <c r="O1370" s="159">
        <f t="shared" si="124"/>
        <v>1.1278755061256258</v>
      </c>
    </row>
    <row r="1371" spans="1:15" hidden="1">
      <c r="A1371" s="7" t="str">
        <f>Clothing!A511</f>
        <v>Clothing rarely washed (in use)</v>
      </c>
      <c r="B1371" s="7" t="str">
        <f>Clothing!B511</f>
        <v>Clothing wearing</v>
      </c>
      <c r="C1371" s="7" t="str">
        <f>Clothing!C511</f>
        <v>any</v>
      </c>
      <c r="D1371" s="7" t="str">
        <f>Clothing!D511</f>
        <v>any</v>
      </c>
      <c r="E1371" s="7">
        <f>Clothing!E511</f>
        <v>0.8928315675018812</v>
      </c>
      <c r="F1371" s="7">
        <f>Clothing!F511</f>
        <v>2</v>
      </c>
      <c r="G1371" s="7" t="str">
        <f>Clothing!G511</f>
        <v>Average loss during wear, Kawecki et al. 2019, SI table 17</v>
      </c>
      <c r="H1371">
        <f>Clothing!H511</f>
        <v>2</v>
      </c>
      <c r="I1371">
        <f>Clothing!I511</f>
        <v>2</v>
      </c>
      <c r="J1371">
        <f>Clothing!J511</f>
        <v>2</v>
      </c>
      <c r="K1371">
        <f>Clothing!K511</f>
        <v>2</v>
      </c>
      <c r="L1371">
        <f>Clothing!L511</f>
        <v>2</v>
      </c>
      <c r="M1371">
        <f>Clothing!M511</f>
        <v>2</v>
      </c>
      <c r="N1371" s="990"/>
      <c r="O1371" s="813"/>
    </row>
    <row r="1372" spans="1:15" hidden="1">
      <c r="A1372" s="7" t="str">
        <f>Clothing!A512</f>
        <v>Clothing rarely washed (in use)</v>
      </c>
      <c r="B1372" s="7" t="str">
        <f>Clothing!B512</f>
        <v>Clothing washing</v>
      </c>
      <c r="C1372" s="7" t="str">
        <f>Clothing!C512</f>
        <v>any</v>
      </c>
      <c r="D1372" s="7" t="str">
        <f>Clothing!D512</f>
        <v>any</v>
      </c>
      <c r="E1372" s="7">
        <f>Clothing!E512</f>
        <v>0.10195783795508456</v>
      </c>
      <c r="F1372" s="7">
        <f>Clothing!F512</f>
        <v>2</v>
      </c>
      <c r="G1372" s="7" t="str">
        <f>Clothing!G512</f>
        <v>Computed from available data from Kawecki et al. (2019) and CBS (2022)</v>
      </c>
      <c r="H1372">
        <f>Clothing!H512</f>
        <v>2</v>
      </c>
      <c r="I1372">
        <f>Clothing!I512</f>
        <v>2</v>
      </c>
      <c r="J1372">
        <f>Clothing!J512</f>
        <v>2</v>
      </c>
      <c r="K1372">
        <f>Clothing!K512</f>
        <v>2</v>
      </c>
      <c r="L1372">
        <f>Clothing!L512</f>
        <v>2</v>
      </c>
      <c r="M1372">
        <f>Clothing!M512</f>
        <v>2</v>
      </c>
      <c r="N1372" s="64">
        <f t="shared" ref="N1372:N1374" si="125">IF( OR( ISBLANK(H1372),ISBLANK(J1372), ISBLANK(K1372), ISBLANK(L1372), ISBLANK(M1372) ), "", 1.5*SQRT(   EXP(2.21*(H1372-1)) + EXP(2.21*(J1372-1)) + EXP(2.21*(K1372-1)) + EXP(2.21*(L1372-1)) + EXP(2.21*M1372)   )/100*2.45 )</f>
        <v>0.40183591897512122</v>
      </c>
      <c r="O1372" s="64">
        <f t="shared" ref="O1372:O1374" si="126">IF( OR( ISBLANK(I1372),ISBLANK(J1372), ISBLANK(K1372), ISBLANK(L1372), ISBLANK(M1372) ), "", 1.5*SQRT( EXP(2.21*(I1372-1)) + EXP(2.21*(J1372-1)) + EXP(2.21*(K1372-1)) + EXP(2.21*(L1372-1)) + EXP(2.21*M1372)   )/100*2.45 )</f>
        <v>0.40183591897512122</v>
      </c>
    </row>
    <row r="1373" spans="1:15" hidden="1">
      <c r="A1373" s="7" t="str">
        <f>Clothing!A513</f>
        <v>Clothing rarely washed (in use)</v>
      </c>
      <c r="B1373" s="7" t="str">
        <f>Clothing!B513</f>
        <v>Clothing drying</v>
      </c>
      <c r="C1373" s="7" t="str">
        <f>Clothing!C513</f>
        <v>any</v>
      </c>
      <c r="D1373" s="7" t="str">
        <f>Clothing!D513</f>
        <v>any</v>
      </c>
      <c r="E1373" s="7">
        <f>Clothing!E513</f>
        <v>5.2105945430341201E-3</v>
      </c>
      <c r="F1373" s="7">
        <f>Clothing!F513</f>
        <v>2</v>
      </c>
      <c r="G1373" s="7" t="str">
        <f>Clothing!G513</f>
        <v>Computed from available data from Kawecki et al. (2019)</v>
      </c>
      <c r="H1373">
        <f>Clothing!H513</f>
        <v>2</v>
      </c>
      <c r="I1373">
        <f>Clothing!I513</f>
        <v>2</v>
      </c>
      <c r="J1373">
        <f>Clothing!J513</f>
        <v>2</v>
      </c>
      <c r="K1373">
        <f>Clothing!K513</f>
        <v>2</v>
      </c>
      <c r="L1373">
        <f>Clothing!L513</f>
        <v>2</v>
      </c>
      <c r="M1373">
        <f>Clothing!M513</f>
        <v>2</v>
      </c>
      <c r="N1373" s="185">
        <f t="shared" si="125"/>
        <v>0.40183591897512122</v>
      </c>
      <c r="O1373" s="159">
        <f t="shared" si="126"/>
        <v>0.40183591897512122</v>
      </c>
    </row>
    <row r="1374" spans="1:15" hidden="1">
      <c r="A1374" s="7" t="str">
        <f>Clothing!A514</f>
        <v>Clothing rarely washed (discarded)</v>
      </c>
      <c r="B1374" s="7" t="str">
        <f>Clothing!B514</f>
        <v>Clothing waste collection</v>
      </c>
      <c r="C1374" s="7" t="str">
        <f>Clothing!C514</f>
        <v>any</v>
      </c>
      <c r="D1374" s="7" t="str">
        <f>Clothing!D514</f>
        <v>any</v>
      </c>
      <c r="E1374" s="7">
        <f>Clothing!E514</f>
        <v>0.50465116279069766</v>
      </c>
      <c r="F1374" s="7">
        <f>Clothing!F514</f>
        <v>2</v>
      </c>
      <c r="G1374" s="7" t="str">
        <f>Clothing!G514</f>
        <v>Massabalans textiel, 2022</v>
      </c>
      <c r="H1374">
        <f>Clothing!H514</f>
        <v>1</v>
      </c>
      <c r="I1374">
        <f>Clothing!I514</f>
        <v>2</v>
      </c>
      <c r="J1374">
        <f>Clothing!J514</f>
        <v>2</v>
      </c>
      <c r="K1374">
        <f>Clothing!K514</f>
        <v>1</v>
      </c>
      <c r="L1374">
        <f>Clothing!L514</f>
        <v>2</v>
      </c>
      <c r="M1374">
        <f>Clothing!M514</f>
        <v>2</v>
      </c>
      <c r="N1374" s="185">
        <f t="shared" si="125"/>
        <v>0.37356464144298934</v>
      </c>
      <c r="O1374" s="159">
        <f t="shared" si="126"/>
        <v>0.38795788889711302</v>
      </c>
    </row>
    <row r="1375" spans="1:15" hidden="1">
      <c r="A1375" s="7" t="str">
        <f>Clothing!A515</f>
        <v>Clothing rarely washed (discarded)</v>
      </c>
      <c r="B1375" s="7" t="str">
        <f>Clothing!B515</f>
        <v>Mixed waste collection</v>
      </c>
      <c r="C1375" s="7" t="str">
        <f>Clothing!C515</f>
        <v>any</v>
      </c>
      <c r="D1375" s="7" t="str">
        <f>Clothing!D515</f>
        <v>any</v>
      </c>
      <c r="E1375" s="7" t="str">
        <f>Clothing!E515</f>
        <v>rest</v>
      </c>
      <c r="F1375" s="7">
        <f>Clothing!F515</f>
        <v>1</v>
      </c>
      <c r="H1375"/>
      <c r="I1375"/>
      <c r="J1375"/>
      <c r="K1375"/>
      <c r="L1375"/>
      <c r="M1375"/>
      <c r="N1375" s="185"/>
      <c r="O1375" s="159"/>
    </row>
    <row r="1376" spans="1:15" hidden="1">
      <c r="A1376" s="7" t="str">
        <f>Clothing!A516</f>
        <v>Clothing rarely washed (discarded)</v>
      </c>
      <c r="B1376" s="7" t="str">
        <f>Clothing!B516</f>
        <v>Dumping</v>
      </c>
      <c r="C1376" s="7" t="str">
        <f>Clothing!C516</f>
        <v>any</v>
      </c>
      <c r="D1376" s="7" t="str">
        <f>Clothing!D516</f>
        <v>any</v>
      </c>
      <c r="E1376" s="7">
        <f>Clothing!E516</f>
        <v>2.7E-4</v>
      </c>
      <c r="F1376" s="7">
        <f>Clothing!F516</f>
        <v>2</v>
      </c>
      <c r="G1376" s="7" t="str">
        <f>Clothing!G516</f>
        <v>Kawecki &amp; Nowack (2019)</v>
      </c>
      <c r="H1376">
        <f>Clothing!H516</f>
        <v>2</v>
      </c>
      <c r="I1376">
        <f>Clothing!I516</f>
        <v>2</v>
      </c>
      <c r="J1376">
        <f>Clothing!J516</f>
        <v>2</v>
      </c>
      <c r="K1376">
        <f>Clothing!K516</f>
        <v>3</v>
      </c>
      <c r="L1376">
        <f>Clothing!L516</f>
        <v>3</v>
      </c>
      <c r="M1376">
        <f>Clothing!M516</f>
        <v>3</v>
      </c>
      <c r="N1376" s="185"/>
      <c r="O1376" s="159"/>
    </row>
    <row r="1377" spans="1:15" hidden="1">
      <c r="A1377" s="7" t="str">
        <f>Clothing!A517</f>
        <v>Clothing not washed (in use)</v>
      </c>
      <c r="B1377" s="7" t="str">
        <f>Clothing!B517</f>
        <v>Clothing wearing</v>
      </c>
      <c r="C1377" s="7" t="str">
        <f>Clothing!C517</f>
        <v>any</v>
      </c>
      <c r="D1377" s="7" t="str">
        <f>Clothing!D517</f>
        <v>any</v>
      </c>
      <c r="E1377" s="7">
        <f>Clothing!E517</f>
        <v>1</v>
      </c>
      <c r="F1377" s="7">
        <f>Clothing!F517</f>
        <v>1</v>
      </c>
      <c r="G1377" s="7" t="str">
        <f>Clothing!G517</f>
        <v>Average loss during wear, Kawecki et al. 2019, SI table 17</v>
      </c>
      <c r="H1377">
        <f>Clothing!H517</f>
        <v>2</v>
      </c>
      <c r="I1377">
        <f>Clothing!I517</f>
        <v>2</v>
      </c>
      <c r="J1377">
        <f>Clothing!J517</f>
        <v>2</v>
      </c>
      <c r="K1377">
        <f>Clothing!K517</f>
        <v>2</v>
      </c>
      <c r="L1377">
        <f>Clothing!L517</f>
        <v>2</v>
      </c>
      <c r="M1377">
        <f>Clothing!M517</f>
        <v>2</v>
      </c>
      <c r="N1377" s="185">
        <f t="shared" ref="N1377:N1378" si="127">IF( OR( ISBLANK(H1377),ISBLANK(J1377), ISBLANK(K1377), ISBLANK(L1377), ISBLANK(M1377) ), "", 1.5*SQRT(   EXP(2.21*(H1377-1)) + EXP(2.21*(J1377-1)) + EXP(2.21*(K1377-1)) + EXP(2.21*(L1377-1)) + EXP(2.21*M1377)   )/100*2.45 )</f>
        <v>0.40183591897512122</v>
      </c>
      <c r="O1377" s="159">
        <f t="shared" ref="O1377:O1379" si="128">IF( OR( ISBLANK(I1377),ISBLANK(J1377), ISBLANK(K1377), ISBLANK(L1377), ISBLANK(M1377) ), "", 1.5*SQRT( EXP(2.21*(I1377-1)) + EXP(2.21*(J1377-1)) + EXP(2.21*(K1377-1)) + EXP(2.21*(L1377-1)) + EXP(2.21*M1377)   )/100*2.45 )</f>
        <v>0.40183591897512122</v>
      </c>
    </row>
    <row r="1378" spans="1:15" hidden="1">
      <c r="A1378" s="7" t="str">
        <f>Clothing!A518</f>
        <v>Clothing not washed (discarded)</v>
      </c>
      <c r="B1378" s="7" t="str">
        <f>Clothing!B518</f>
        <v>Clothing waste collection</v>
      </c>
      <c r="C1378" s="7" t="str">
        <f>Clothing!C518</f>
        <v>any</v>
      </c>
      <c r="D1378" s="7" t="str">
        <f>Clothing!D518</f>
        <v>any</v>
      </c>
      <c r="E1378" s="7">
        <f>Clothing!E518</f>
        <v>0.50465116279069766</v>
      </c>
      <c r="F1378" s="7">
        <f>Clothing!F518</f>
        <v>2</v>
      </c>
      <c r="G1378" s="7" t="str">
        <f>Clothing!G518</f>
        <v>Massabalans textiel, 2022</v>
      </c>
      <c r="H1378">
        <f>Clothing!H518</f>
        <v>1</v>
      </c>
      <c r="I1378">
        <f>Clothing!I518</f>
        <v>2</v>
      </c>
      <c r="J1378">
        <f>Clothing!J518</f>
        <v>2</v>
      </c>
      <c r="K1378">
        <f>Clothing!K518</f>
        <v>1</v>
      </c>
      <c r="L1378">
        <f>Clothing!L518</f>
        <v>2</v>
      </c>
      <c r="M1378">
        <f>Clothing!M518</f>
        <v>2</v>
      </c>
      <c r="N1378" s="185">
        <f t="shared" si="127"/>
        <v>0.37356464144298934</v>
      </c>
      <c r="O1378" s="159">
        <f t="shared" si="128"/>
        <v>0.38795788889711302</v>
      </c>
    </row>
    <row r="1379" spans="1:15" hidden="1">
      <c r="A1379" s="7" t="str">
        <f>Clothing!A519</f>
        <v>Clothing not washed (discarded)</v>
      </c>
      <c r="B1379" s="7" t="str">
        <f>Clothing!B519</f>
        <v>Mixed waste collection</v>
      </c>
      <c r="C1379" s="7" t="str">
        <f>Clothing!C519</f>
        <v>any</v>
      </c>
      <c r="D1379" s="7" t="str">
        <f>Clothing!D519</f>
        <v>any</v>
      </c>
      <c r="E1379" s="7" t="str">
        <f>Clothing!E519</f>
        <v>rest</v>
      </c>
      <c r="F1379" s="7">
        <f>Clothing!F519</f>
        <v>1</v>
      </c>
      <c r="H1379"/>
      <c r="I1379"/>
      <c r="J1379"/>
      <c r="K1379"/>
      <c r="L1379"/>
      <c r="M1379"/>
      <c r="N1379" s="936"/>
      <c r="O1379" s="159" t="str">
        <f t="shared" si="128"/>
        <v/>
      </c>
    </row>
    <row r="1380" spans="1:15" ht="15" hidden="1" thickBot="1">
      <c r="A1380" s="997" t="str">
        <f>Clothing!A520</f>
        <v>Clothing not washed (discarded)</v>
      </c>
      <c r="B1380" s="997" t="str">
        <f>Clothing!B520</f>
        <v>Dumping</v>
      </c>
      <c r="C1380" s="997" t="str">
        <f>Clothing!C520</f>
        <v>any</v>
      </c>
      <c r="D1380" s="997" t="str">
        <f>Clothing!D520</f>
        <v>any</v>
      </c>
      <c r="E1380" s="997">
        <f>Clothing!E520</f>
        <v>2.7E-4</v>
      </c>
      <c r="F1380" s="997">
        <f>Clothing!F520</f>
        <v>2</v>
      </c>
      <c r="G1380" s="997" t="str">
        <f>Clothing!G520</f>
        <v>Kawecki &amp; Nowack (2019)</v>
      </c>
      <c r="H1380">
        <f>Clothing!H520</f>
        <v>2</v>
      </c>
      <c r="I1380">
        <f>Clothing!I520</f>
        <v>2</v>
      </c>
      <c r="J1380">
        <f>Clothing!J520</f>
        <v>2</v>
      </c>
      <c r="K1380">
        <f>Clothing!K520</f>
        <v>3</v>
      </c>
      <c r="L1380">
        <f>Clothing!L520</f>
        <v>3</v>
      </c>
      <c r="M1380">
        <f>Clothing!M520</f>
        <v>3</v>
      </c>
      <c r="N1380" s="998"/>
      <c r="O1380" s="160"/>
    </row>
    <row r="1381" spans="1:15" hidden="1">
      <c r="A1381" s="7" t="str">
        <f>Clothing!A523</f>
        <v>Boots</v>
      </c>
      <c r="B1381" s="7" t="str">
        <f>Clothing!B523</f>
        <v>Footwear waste collection</v>
      </c>
      <c r="C1381" s="7" t="str">
        <f>Clothing!C523</f>
        <v>any</v>
      </c>
      <c r="D1381" s="7" t="str">
        <f>Clothing!D523</f>
        <v>any</v>
      </c>
      <c r="E1381" s="7">
        <f>Clothing!E523</f>
        <v>0.25</v>
      </c>
      <c r="F1381" s="7">
        <f>Clothing!F523</f>
        <v>2</v>
      </c>
      <c r="G1381" s="7" t="str">
        <f>Clothing!G523</f>
        <v>(de Waart et al., 2023)</v>
      </c>
      <c r="H1381">
        <f>Clothing!H523</f>
        <v>2</v>
      </c>
      <c r="I1381">
        <f>Clothing!I523</f>
        <v>2</v>
      </c>
      <c r="J1381">
        <f>Clothing!J523</f>
        <v>2</v>
      </c>
      <c r="K1381">
        <f>Clothing!K523</f>
        <v>3</v>
      </c>
      <c r="L1381">
        <f>Clothing!L523</f>
        <v>2</v>
      </c>
      <c r="M1381">
        <f>Clothing!M523</f>
        <v>2</v>
      </c>
      <c r="N1381" s="185"/>
      <c r="O1381" s="159"/>
    </row>
    <row r="1382" spans="1:15" hidden="1">
      <c r="A1382" s="7" t="str">
        <f>Clothing!A524</f>
        <v>Boots</v>
      </c>
      <c r="B1382" s="7" t="str">
        <f>Clothing!B524</f>
        <v>Mixed waste collection</v>
      </c>
      <c r="C1382" s="7" t="str">
        <f>Clothing!C524</f>
        <v>any</v>
      </c>
      <c r="D1382" s="7" t="str">
        <f>Clothing!D524</f>
        <v>any</v>
      </c>
      <c r="E1382" s="7" t="str">
        <f>Clothing!E524</f>
        <v>rest</v>
      </c>
      <c r="F1382" s="7">
        <f>Clothing!F524</f>
        <v>1</v>
      </c>
      <c r="G1382" s="7">
        <f>Clothing!G524</f>
        <v>0</v>
      </c>
      <c r="H1382">
        <f>Clothing!H524</f>
        <v>0</v>
      </c>
      <c r="I1382">
        <f>Clothing!I524</f>
        <v>0</v>
      </c>
      <c r="J1382">
        <f>Clothing!J524</f>
        <v>0</v>
      </c>
      <c r="K1382">
        <f>Clothing!K524</f>
        <v>0</v>
      </c>
      <c r="L1382">
        <f>Clothing!L524</f>
        <v>0</v>
      </c>
      <c r="M1382">
        <f>Clothing!M524</f>
        <v>0</v>
      </c>
      <c r="N1382" s="185">
        <f t="shared" ref="N1382" si="129">IF( OR( ISBLANK(H1382),ISBLANK(J1382), ISBLANK(K1382), ISBLANK(L1382), ISBLANK(M1382) ), "", 1.5*SQRT(   EXP(2.21*(H1382-1)) + EXP(2.21*(J1382-1)) + EXP(2.21*(K1382-1)) + EXP(2.21*(L1382-1)) + EXP(2.21*M1382)   )/100*2.45 )</f>
        <v>4.4081660908397297E-2</v>
      </c>
      <c r="O1382" s="159">
        <f t="shared" ref="O1382" si="130">IF( OR( ISBLANK(I1382),ISBLANK(J1382), ISBLANK(K1382), ISBLANK(L1382), ISBLANK(M1382) ), "", 1.5*SQRT( EXP(2.21*(I1382-1)) + EXP(2.21*(J1382-1)) + EXP(2.21*(K1382-1)) + EXP(2.21*(L1382-1)) + EXP(2.21*M1382)   )/100*2.45 )</f>
        <v>4.4081660908397297E-2</v>
      </c>
    </row>
    <row r="1383" spans="1:15" hidden="1">
      <c r="A1383" s="7" t="str">
        <f>Clothing!A525</f>
        <v>Boots</v>
      </c>
      <c r="B1383" s="7" t="str">
        <f>Clothing!B525</f>
        <v>Dumping</v>
      </c>
      <c r="C1383" s="7" t="str">
        <f>Clothing!C525</f>
        <v>any</v>
      </c>
      <c r="D1383" s="7" t="str">
        <f>Clothing!D525</f>
        <v>any</v>
      </c>
      <c r="E1383" s="7">
        <f>Clothing!E525</f>
        <v>2.6918324999999996E-4</v>
      </c>
      <c r="F1383" s="7">
        <f>Clothing!F525</f>
        <v>2</v>
      </c>
      <c r="G1383" s="7" t="str">
        <f>Clothing!G525</f>
        <v>Kawecki &amp; Nowack (2019)</v>
      </c>
      <c r="H1383">
        <f>Clothing!H525</f>
        <v>2</v>
      </c>
      <c r="I1383">
        <f>Clothing!I525</f>
        <v>2</v>
      </c>
      <c r="J1383">
        <f>Clothing!J525</f>
        <v>2</v>
      </c>
      <c r="K1383">
        <f>Clothing!K525</f>
        <v>3</v>
      </c>
      <c r="L1383">
        <f>Clothing!L525</f>
        <v>3</v>
      </c>
      <c r="M1383">
        <f>Clothing!M525</f>
        <v>3</v>
      </c>
      <c r="N1383" s="185"/>
      <c r="O1383" s="159"/>
    </row>
    <row r="1384" spans="1:15" hidden="1">
      <c r="A1384" s="7" t="str">
        <f>Clothing!A526</f>
        <v>Boots</v>
      </c>
      <c r="B1384" s="7" t="str">
        <f>Clothing!B526</f>
        <v>Footwear wearing (soles)</v>
      </c>
      <c r="C1384" s="7" t="str">
        <f>Clothing!C526</f>
        <v>any</v>
      </c>
      <c r="D1384" s="7" t="str">
        <f>Clothing!D526</f>
        <v>RUBBER</v>
      </c>
      <c r="E1384" s="7">
        <f>Clothing!E526</f>
        <v>5.7712387375211246E-3</v>
      </c>
      <c r="F1384" s="7">
        <f>Clothing!F526</f>
        <v>3</v>
      </c>
      <c r="G1384" s="7" t="str">
        <f>Clothing!G526</f>
        <v>See shoesole wear calculation in clothing tab of MainInputFile</v>
      </c>
      <c r="H1384">
        <f>Clothing!H526</f>
        <v>1</v>
      </c>
      <c r="I1384">
        <f>Clothing!I526</f>
        <v>2</v>
      </c>
      <c r="J1384">
        <f>Clothing!J526</f>
        <v>2</v>
      </c>
      <c r="K1384">
        <f>Clothing!K526</f>
        <v>2</v>
      </c>
      <c r="L1384">
        <f>Clothing!L526</f>
        <v>2</v>
      </c>
      <c r="M1384">
        <f>Clothing!M526</f>
        <v>3</v>
      </c>
      <c r="N1384" s="936">
        <f t="shared" ref="N1384" si="131">IF( OR( ISBLANK(H1384),ISBLANK(J1384), ISBLANK(K1384), ISBLANK(L1384), ISBLANK(M1384) ), "", 1.5*SQRT(   EXP(2.21*(H1384-1)) + EXP(2.21*(J1384-1)) + EXP(2.21*(K1384-1)) + EXP(2.21*(L1384-1)) + EXP(2.21*M1384)   )/100*2.45 )</f>
        <v>1.0301997916669636</v>
      </c>
      <c r="O1384" s="159">
        <f t="shared" ref="O1384" si="132">IF( OR( ISBLANK(I1384),ISBLANK(J1384), ISBLANK(K1384), ISBLANK(L1384), ISBLANK(M1384) ), "", 1.5*SQRT( EXP(2.21*(I1384-1)) + EXP(2.21*(J1384-1)) + EXP(2.21*(K1384-1)) + EXP(2.21*(L1384-1)) + EXP(2.21*M1384)   )/100*2.45 )</f>
        <v>1.0355058633207881</v>
      </c>
    </row>
    <row r="1385" spans="1:15" hidden="1">
      <c r="A1385" s="7" t="str">
        <f>Clothing!A527</f>
        <v>Boots</v>
      </c>
      <c r="B1385" s="7" t="str">
        <f>Clothing!B527</f>
        <v>Footwear wearing (soles)</v>
      </c>
      <c r="C1385" s="7" t="str">
        <f>Clothing!C527</f>
        <v>any</v>
      </c>
      <c r="D1385" s="7" t="str">
        <f>Clothing!D527</f>
        <v>RUBBER</v>
      </c>
      <c r="E1385" s="7">
        <f>Clothing!E527</f>
        <v>1.1542477475042249E-2</v>
      </c>
      <c r="F1385" s="7">
        <f>Clothing!F527</f>
        <v>3</v>
      </c>
      <c r="G1385" s="7" t="str">
        <f>Clothing!G527</f>
        <v>See shoesole wear calculation in clothing tab of MainInputFile</v>
      </c>
      <c r="H1385">
        <f>Clothing!H527</f>
        <v>1</v>
      </c>
      <c r="I1385">
        <f>Clothing!I527</f>
        <v>2</v>
      </c>
      <c r="J1385">
        <f>Clothing!J527</f>
        <v>2</v>
      </c>
      <c r="K1385">
        <f>Clothing!K527</f>
        <v>2</v>
      </c>
      <c r="L1385">
        <f>Clothing!L527</f>
        <v>2</v>
      </c>
      <c r="M1385">
        <f>Clothing!M527</f>
        <v>3</v>
      </c>
      <c r="N1385" s="990"/>
      <c r="O1385" s="813"/>
    </row>
    <row r="1386" spans="1:15" hidden="1">
      <c r="A1386" s="7" t="str">
        <f>Clothing!A528</f>
        <v>Boots</v>
      </c>
      <c r="B1386" s="7" t="str">
        <f>Clothing!B528</f>
        <v>Footwear wearing (soles)</v>
      </c>
      <c r="C1386" s="7" t="str">
        <f>Clothing!C528</f>
        <v>any</v>
      </c>
      <c r="D1386" s="7" t="str">
        <f>Clothing!D528</f>
        <v>PUR</v>
      </c>
      <c r="E1386" s="7">
        <f>Clothing!E528</f>
        <v>2.5413504031689942E-3</v>
      </c>
      <c r="F1386" s="7">
        <f>Clothing!F528</f>
        <v>3</v>
      </c>
      <c r="G1386" s="7" t="str">
        <f>Clothing!G528</f>
        <v>See shoesole wear calculation in clothing tab of MainInputFile</v>
      </c>
      <c r="H1386">
        <f>Clothing!H528</f>
        <v>1</v>
      </c>
      <c r="I1386">
        <f>Clothing!I528</f>
        <v>2</v>
      </c>
      <c r="J1386">
        <f>Clothing!J528</f>
        <v>2</v>
      </c>
      <c r="K1386">
        <f>Clothing!K528</f>
        <v>2</v>
      </c>
      <c r="L1386">
        <f>Clothing!L528</f>
        <v>2</v>
      </c>
      <c r="M1386">
        <f>Clothing!M528</f>
        <v>3</v>
      </c>
      <c r="N1386" s="64">
        <f t="shared" ref="N1386:N1388" si="133">IF( OR( ISBLANK(H1386),ISBLANK(J1386), ISBLANK(K1386), ISBLANK(L1386), ISBLANK(M1386) ), "", 1.5*SQRT(   EXP(2.21*(H1386-1)) + EXP(2.21*(J1386-1)) + EXP(2.21*(K1386-1)) + EXP(2.21*(L1386-1)) + EXP(2.21*M1386)   )/100*2.45 )</f>
        <v>1.0301997916669636</v>
      </c>
      <c r="O1386" s="64">
        <f t="shared" ref="O1386:O1388" si="134">IF( OR( ISBLANK(I1386),ISBLANK(J1386), ISBLANK(K1386), ISBLANK(L1386), ISBLANK(M1386) ), "", 1.5*SQRT( EXP(2.21*(I1386-1)) + EXP(2.21*(J1386-1)) + EXP(2.21*(K1386-1)) + EXP(2.21*(L1386-1)) + EXP(2.21*M1386)   )/100*2.45 )</f>
        <v>1.0355058633207881</v>
      </c>
    </row>
    <row r="1387" spans="1:15" hidden="1">
      <c r="A1387" s="7" t="str">
        <f>Clothing!A529</f>
        <v>Boots</v>
      </c>
      <c r="B1387" s="7" t="str">
        <f>Clothing!B529</f>
        <v>Footwear wearing (soles)</v>
      </c>
      <c r="C1387" s="7" t="str">
        <f>Clothing!C529</f>
        <v>any</v>
      </c>
      <c r="D1387" s="7" t="str">
        <f>Clothing!D529</f>
        <v>PUR</v>
      </c>
      <c r="E1387" s="7">
        <f>Clothing!E529</f>
        <v>5.0827008063379885E-3</v>
      </c>
      <c r="F1387" s="7">
        <f>Clothing!F529</f>
        <v>3</v>
      </c>
      <c r="G1387" s="7" t="str">
        <f>Clothing!G529</f>
        <v>See shoesole wear calculation in clothing tab of MainInputFile</v>
      </c>
      <c r="H1387">
        <f>Clothing!H529</f>
        <v>1</v>
      </c>
      <c r="I1387">
        <f>Clothing!I529</f>
        <v>2</v>
      </c>
      <c r="J1387">
        <f>Clothing!J529</f>
        <v>2</v>
      </c>
      <c r="K1387">
        <f>Clothing!K529</f>
        <v>2</v>
      </c>
      <c r="L1387">
        <f>Clothing!L529</f>
        <v>2</v>
      </c>
      <c r="M1387">
        <f>Clothing!M529</f>
        <v>3</v>
      </c>
      <c r="N1387" s="185">
        <f t="shared" si="133"/>
        <v>1.0301997916669636</v>
      </c>
      <c r="O1387" s="159">
        <f t="shared" si="134"/>
        <v>1.0355058633207881</v>
      </c>
    </row>
    <row r="1388" spans="1:15" hidden="1">
      <c r="A1388" s="7" t="str">
        <f>Clothing!A530</f>
        <v>Boots</v>
      </c>
      <c r="B1388" s="7" t="str">
        <f>Clothing!B530</f>
        <v>Footwear wearing (soles)</v>
      </c>
      <c r="C1388" s="7" t="str">
        <f>Clothing!C530</f>
        <v>any</v>
      </c>
      <c r="D1388" s="7" t="str">
        <f>Clothing!D530</f>
        <v>OTHER</v>
      </c>
      <c r="E1388" s="7">
        <f>Clothing!E530</f>
        <v>2.6370870403593857E-3</v>
      </c>
      <c r="F1388" s="7">
        <f>Clothing!F530</f>
        <v>3</v>
      </c>
      <c r="G1388" s="7" t="str">
        <f>Clothing!G530</f>
        <v>See shoesole wear calculation in clothing tab of MainInputFile</v>
      </c>
      <c r="H1388">
        <f>Clothing!H530</f>
        <v>1</v>
      </c>
      <c r="I1388">
        <f>Clothing!I530</f>
        <v>2</v>
      </c>
      <c r="J1388">
        <f>Clothing!J530</f>
        <v>2</v>
      </c>
      <c r="K1388">
        <f>Clothing!K530</f>
        <v>2</v>
      </c>
      <c r="L1388">
        <f>Clothing!L530</f>
        <v>2</v>
      </c>
      <c r="M1388">
        <f>Clothing!M530</f>
        <v>3</v>
      </c>
      <c r="N1388" s="185">
        <f t="shared" si="133"/>
        <v>1.0301997916669636</v>
      </c>
      <c r="O1388" s="159">
        <f t="shared" si="134"/>
        <v>1.0355058633207881</v>
      </c>
    </row>
    <row r="1389" spans="1:15" hidden="1">
      <c r="A1389" s="7" t="str">
        <f>Clothing!A531</f>
        <v>Boots</v>
      </c>
      <c r="B1389" s="7" t="str">
        <f>Clothing!B531</f>
        <v>Footwear wearing (soles)</v>
      </c>
      <c r="C1389" s="7" t="str">
        <f>Clothing!C531</f>
        <v>any</v>
      </c>
      <c r="D1389" s="7" t="str">
        <f>Clothing!D531</f>
        <v>OTHER</v>
      </c>
      <c r="E1389" s="7">
        <f>Clothing!E531</f>
        <v>5.2741740807187715E-3</v>
      </c>
      <c r="F1389" s="7">
        <f>Clothing!F531</f>
        <v>3</v>
      </c>
      <c r="G1389" s="7" t="str">
        <f>Clothing!G531</f>
        <v>See shoesole wear calculation in clothing tab of MainInputFile</v>
      </c>
      <c r="H1389">
        <f>Clothing!H531</f>
        <v>1</v>
      </c>
      <c r="I1389">
        <f>Clothing!I531</f>
        <v>2</v>
      </c>
      <c r="J1389">
        <f>Clothing!J531</f>
        <v>2</v>
      </c>
      <c r="K1389">
        <f>Clothing!K531</f>
        <v>2</v>
      </c>
      <c r="L1389">
        <f>Clothing!L531</f>
        <v>2</v>
      </c>
      <c r="M1389">
        <f>Clothing!M531</f>
        <v>3</v>
      </c>
      <c r="N1389" s="185"/>
      <c r="O1389" s="159"/>
    </row>
    <row r="1390" spans="1:15" hidden="1">
      <c r="A1390" s="7" t="str">
        <f>Clothing!A532</f>
        <v>Boots</v>
      </c>
      <c r="B1390" s="7" t="str">
        <f>Clothing!B532</f>
        <v>Footwear wearing (soles)</v>
      </c>
      <c r="C1390" s="7" t="str">
        <f>Clothing!C532</f>
        <v>any</v>
      </c>
      <c r="D1390" s="7" t="str">
        <f>Clothing!D532</f>
        <v>PVC</v>
      </c>
      <c r="E1390" s="7">
        <f>Clothing!E532</f>
        <v>3.2506855134566658E-3</v>
      </c>
      <c r="F1390" s="7">
        <f>Clothing!F532</f>
        <v>3</v>
      </c>
      <c r="G1390" s="7" t="str">
        <f>Clothing!G532</f>
        <v>See shoesole wear calculation in clothing tab of MainInputFile</v>
      </c>
      <c r="H1390">
        <f>Clothing!H532</f>
        <v>1</v>
      </c>
      <c r="I1390">
        <f>Clothing!I532</f>
        <v>2</v>
      </c>
      <c r="J1390">
        <f>Clothing!J532</f>
        <v>2</v>
      </c>
      <c r="K1390">
        <f>Clothing!K532</f>
        <v>2</v>
      </c>
      <c r="L1390">
        <f>Clothing!L532</f>
        <v>2</v>
      </c>
      <c r="M1390">
        <f>Clothing!M532</f>
        <v>3</v>
      </c>
      <c r="N1390" s="185"/>
      <c r="O1390" s="159"/>
    </row>
    <row r="1391" spans="1:15" hidden="1">
      <c r="A1391" s="7" t="str">
        <f>Clothing!A533</f>
        <v>Boots</v>
      </c>
      <c r="B1391" s="7" t="str">
        <f>Clothing!B533</f>
        <v>Footwear wearing (soles)</v>
      </c>
      <c r="C1391" s="7" t="str">
        <f>Clothing!C533</f>
        <v>any</v>
      </c>
      <c r="D1391" s="7" t="str">
        <f>Clothing!D533</f>
        <v>PVC</v>
      </c>
      <c r="E1391" s="7">
        <f>Clothing!E533</f>
        <v>6.5013710269133315E-3</v>
      </c>
      <c r="F1391" s="7">
        <f>Clothing!F533</f>
        <v>3</v>
      </c>
      <c r="G1391" s="7" t="str">
        <f>Clothing!G533</f>
        <v>See shoesole wear calculation in clothing tab of MainInputFile</v>
      </c>
      <c r="H1391">
        <f>Clothing!H533</f>
        <v>1</v>
      </c>
      <c r="I1391">
        <f>Clothing!I533</f>
        <v>2</v>
      </c>
      <c r="J1391">
        <f>Clothing!J533</f>
        <v>2</v>
      </c>
      <c r="K1391">
        <f>Clothing!K533</f>
        <v>2</v>
      </c>
      <c r="L1391">
        <f>Clothing!L533</f>
        <v>2</v>
      </c>
      <c r="M1391">
        <f>Clothing!M533</f>
        <v>3</v>
      </c>
      <c r="N1391" s="185">
        <f t="shared" ref="N1391:N1392" si="135">IF( OR( ISBLANK(H1391),ISBLANK(J1391), ISBLANK(K1391), ISBLANK(L1391), ISBLANK(M1391) ), "", 1.5*SQRT(   EXP(2.21*(H1391-1)) + EXP(2.21*(J1391-1)) + EXP(2.21*(K1391-1)) + EXP(2.21*(L1391-1)) + EXP(2.21*M1391)   )/100*2.45 )</f>
        <v>1.0301997916669636</v>
      </c>
      <c r="O1391" s="159">
        <f t="shared" ref="O1391:O1393" si="136">IF( OR( ISBLANK(I1391),ISBLANK(J1391), ISBLANK(K1391), ISBLANK(L1391), ISBLANK(M1391) ), "", 1.5*SQRT( EXP(2.21*(I1391-1)) + EXP(2.21*(J1391-1)) + EXP(2.21*(K1391-1)) + EXP(2.21*(L1391-1)) + EXP(2.21*M1391)   )/100*2.45 )</f>
        <v>1.0355058633207881</v>
      </c>
    </row>
    <row r="1392" spans="1:15" hidden="1">
      <c r="A1392" s="7" t="str">
        <f>Clothing!A534</f>
        <v>Boots</v>
      </c>
      <c r="B1392" s="7" t="str">
        <f>Clothing!B534</f>
        <v>Footwear wearing (uppers)</v>
      </c>
      <c r="C1392" s="7" t="str">
        <f>Clothing!C534</f>
        <v>any</v>
      </c>
      <c r="D1392" s="7" t="str">
        <f>Clothing!D534</f>
        <v>PA</v>
      </c>
      <c r="E1392" s="7">
        <f>Clothing!E534</f>
        <v>3.0249999999999999E-3</v>
      </c>
      <c r="F1392" s="7">
        <f>Clothing!F534</f>
        <v>3</v>
      </c>
      <c r="G1392" s="7" t="str">
        <f>Clothing!G534</f>
        <v>Average loss during wear, Kawecki et al. 2019, SI table 17</v>
      </c>
      <c r="H1392">
        <f>Clothing!H534</f>
        <v>2</v>
      </c>
      <c r="I1392">
        <f>Clothing!I534</f>
        <v>2</v>
      </c>
      <c r="J1392">
        <f>Clothing!J534</f>
        <v>2</v>
      </c>
      <c r="K1392">
        <f>Clothing!K534</f>
        <v>2</v>
      </c>
      <c r="L1392">
        <f>Clothing!L534</f>
        <v>2</v>
      </c>
      <c r="M1392">
        <f>Clothing!M534</f>
        <v>2</v>
      </c>
      <c r="N1392" s="185">
        <f t="shared" si="135"/>
        <v>0.40183591897512122</v>
      </c>
      <c r="O1392" s="159">
        <f t="shared" si="136"/>
        <v>0.40183591897512122</v>
      </c>
    </row>
    <row r="1393" spans="1:15" hidden="1">
      <c r="A1393" s="7" t="str">
        <f>Clothing!A535</f>
        <v>Boots</v>
      </c>
      <c r="B1393" s="7" t="str">
        <f>Clothing!B535</f>
        <v>Footwear wearing (uppers)</v>
      </c>
      <c r="C1393" s="7" t="str">
        <f>Clothing!C535</f>
        <v>any</v>
      </c>
      <c r="D1393" s="7" t="str">
        <f>Clothing!D535</f>
        <v>PET</v>
      </c>
      <c r="E1393" s="7">
        <f>Clothing!E535</f>
        <v>3.0249999999999999E-3</v>
      </c>
      <c r="F1393" s="7">
        <f>Clothing!F535</f>
        <v>3</v>
      </c>
      <c r="G1393" s="7" t="str">
        <f>Clothing!G535</f>
        <v>Average loss during wear, Kawecki et al. 2019, SI table 17</v>
      </c>
      <c r="H1393">
        <f>Clothing!H535</f>
        <v>2</v>
      </c>
      <c r="I1393">
        <f>Clothing!I535</f>
        <v>2</v>
      </c>
      <c r="J1393">
        <f>Clothing!J535</f>
        <v>2</v>
      </c>
      <c r="K1393">
        <f>Clothing!K535</f>
        <v>2</v>
      </c>
      <c r="L1393">
        <f>Clothing!L535</f>
        <v>2</v>
      </c>
      <c r="M1393">
        <f>Clothing!M535</f>
        <v>2</v>
      </c>
      <c r="N1393" s="936"/>
      <c r="O1393" s="159">
        <f t="shared" si="136"/>
        <v>0.40183591897512122</v>
      </c>
    </row>
    <row r="1394" spans="1:15" ht="15" hidden="1" thickBot="1">
      <c r="A1394" s="7" t="str">
        <f>Clothing!A536</f>
        <v>Closed-toed shoes</v>
      </c>
      <c r="B1394" s="7" t="str">
        <f>Clothing!B536</f>
        <v>Footwear waste collection</v>
      </c>
      <c r="C1394" s="7" t="str">
        <f>Clothing!C536</f>
        <v>any</v>
      </c>
      <c r="D1394" s="7" t="str">
        <f>Clothing!D536</f>
        <v>any</v>
      </c>
      <c r="E1394" s="7">
        <f>Clothing!E536</f>
        <v>0.25</v>
      </c>
      <c r="F1394" s="7">
        <f>Clothing!F536</f>
        <v>2</v>
      </c>
      <c r="G1394" s="7" t="str">
        <f>Clothing!G536</f>
        <v>(de Waart et al., 2023)</v>
      </c>
      <c r="H1394">
        <f>Clothing!H536</f>
        <v>2</v>
      </c>
      <c r="I1394">
        <f>Clothing!I536</f>
        <v>2</v>
      </c>
      <c r="J1394">
        <f>Clothing!J536</f>
        <v>2</v>
      </c>
      <c r="K1394">
        <f>Clothing!K536</f>
        <v>3</v>
      </c>
      <c r="L1394">
        <f>Clothing!L536</f>
        <v>2</v>
      </c>
      <c r="M1394">
        <f>Clothing!M536</f>
        <v>2</v>
      </c>
      <c r="N1394" s="998"/>
      <c r="O1394" s="160"/>
    </row>
    <row r="1395" spans="1:15" hidden="1">
      <c r="A1395" s="7" t="str">
        <f>Clothing!A537</f>
        <v>Closed-toed shoes</v>
      </c>
      <c r="B1395" s="7" t="str">
        <f>Clothing!B537</f>
        <v>Mixed waste collection</v>
      </c>
      <c r="C1395" s="7" t="str">
        <f>Clothing!C537</f>
        <v>any</v>
      </c>
      <c r="D1395" s="7" t="str">
        <f>Clothing!D537</f>
        <v>any</v>
      </c>
      <c r="E1395" s="7" t="str">
        <f>Clothing!E537</f>
        <v>rest</v>
      </c>
      <c r="F1395" s="7">
        <f>Clothing!F537</f>
        <v>1</v>
      </c>
      <c r="H1395"/>
      <c r="I1395"/>
      <c r="J1395"/>
      <c r="K1395"/>
      <c r="L1395"/>
      <c r="M1395"/>
      <c r="N1395" s="185"/>
      <c r="O1395" s="159"/>
    </row>
    <row r="1396" spans="1:15" hidden="1">
      <c r="A1396" s="7" t="str">
        <f>Clothing!A538</f>
        <v>Closed-toed shoes</v>
      </c>
      <c r="B1396" s="7" t="str">
        <f>Clothing!B538</f>
        <v>Dumping</v>
      </c>
      <c r="C1396" s="7" t="str">
        <f>Clothing!C538</f>
        <v>any</v>
      </c>
      <c r="D1396" s="7" t="str">
        <f>Clothing!D538</f>
        <v>any</v>
      </c>
      <c r="E1396" s="7">
        <f>Clothing!E538</f>
        <v>2.6918324999999996E-4</v>
      </c>
      <c r="F1396" s="7">
        <f>Clothing!F538</f>
        <v>2</v>
      </c>
      <c r="G1396" s="7" t="str">
        <f>Clothing!G538</f>
        <v>Kawecki &amp; Nowack (2019)</v>
      </c>
      <c r="H1396">
        <f>Clothing!H538</f>
        <v>2</v>
      </c>
      <c r="I1396">
        <f>Clothing!I538</f>
        <v>2</v>
      </c>
      <c r="J1396">
        <f>Clothing!J538</f>
        <v>2</v>
      </c>
      <c r="K1396">
        <f>Clothing!K538</f>
        <v>3</v>
      </c>
      <c r="L1396">
        <f>Clothing!L538</f>
        <v>3</v>
      </c>
      <c r="M1396">
        <f>Clothing!M538</f>
        <v>3</v>
      </c>
      <c r="N1396" s="185">
        <f t="shared" ref="N1396" si="137">IF( OR( ISBLANK(H1396),ISBLANK(J1396), ISBLANK(K1396), ISBLANK(L1396), ISBLANK(M1396) ), "", 1.5*SQRT(   EXP(2.21*(H1396-1)) + EXP(2.21*(J1396-1)) + EXP(2.21*(K1396-1)) + EXP(2.21*(L1396-1)) + EXP(2.21*M1396)   )/100*2.45 )</f>
        <v>1.1278755061256258</v>
      </c>
      <c r="O1396" s="159">
        <f t="shared" ref="O1396" si="138">IF( OR( ISBLANK(I1396),ISBLANK(J1396), ISBLANK(K1396), ISBLANK(L1396), ISBLANK(M1396) ), "", 1.5*SQRT( EXP(2.21*(I1396-1)) + EXP(2.21*(J1396-1)) + EXP(2.21*(K1396-1)) + EXP(2.21*(L1396-1)) + EXP(2.21*M1396)   )/100*2.45 )</f>
        <v>1.1278755061256258</v>
      </c>
    </row>
    <row r="1397" spans="1:15" hidden="1">
      <c r="A1397" s="7" t="str">
        <f>Clothing!A539</f>
        <v>Closed-toed shoes</v>
      </c>
      <c r="B1397" s="7" t="str">
        <f>Clothing!B539</f>
        <v>Footwear wearing (soles)</v>
      </c>
      <c r="C1397" s="7" t="str">
        <f>Clothing!C539</f>
        <v>any</v>
      </c>
      <c r="D1397" s="7" t="str">
        <f>Clothing!D539</f>
        <v>RUBBER</v>
      </c>
      <c r="E1397" s="7">
        <f>Clothing!E539</f>
        <v>5.7712387375211246E-3</v>
      </c>
      <c r="F1397" s="7">
        <f>Clothing!F539</f>
        <v>3</v>
      </c>
      <c r="G1397" s="7" t="str">
        <f>Clothing!G539</f>
        <v>See shoesole wear calculation in clothing tab of MainInputFile</v>
      </c>
      <c r="H1397">
        <f>Clothing!H539</f>
        <v>1</v>
      </c>
      <c r="I1397">
        <f>Clothing!I539</f>
        <v>2</v>
      </c>
      <c r="J1397">
        <f>Clothing!J539</f>
        <v>2</v>
      </c>
      <c r="K1397">
        <f>Clothing!K539</f>
        <v>2</v>
      </c>
      <c r="L1397">
        <f>Clothing!L539</f>
        <v>2</v>
      </c>
      <c r="M1397">
        <f>Clothing!M539</f>
        <v>3</v>
      </c>
      <c r="N1397" s="185"/>
      <c r="O1397" s="159"/>
    </row>
    <row r="1398" spans="1:15" hidden="1">
      <c r="A1398" s="7" t="str">
        <f>Clothing!A540</f>
        <v>Closed-toed shoes</v>
      </c>
      <c r="B1398" s="7" t="str">
        <f>Clothing!B540</f>
        <v>Footwear wearing (soles)</v>
      </c>
      <c r="C1398" s="7" t="str">
        <f>Clothing!C540</f>
        <v>any</v>
      </c>
      <c r="D1398" s="7" t="str">
        <f>Clothing!D540</f>
        <v>RUBBER</v>
      </c>
      <c r="E1398" s="7">
        <f>Clothing!E540</f>
        <v>1.1542477475042249E-2</v>
      </c>
      <c r="F1398" s="7">
        <f>Clothing!F540</f>
        <v>3</v>
      </c>
      <c r="G1398" s="7" t="str">
        <f>Clothing!G540</f>
        <v>See shoesole wear calculation in clothing tab of MainInputFile</v>
      </c>
      <c r="H1398">
        <f>Clothing!H540</f>
        <v>1</v>
      </c>
      <c r="I1398">
        <f>Clothing!I540</f>
        <v>2</v>
      </c>
      <c r="J1398">
        <f>Clothing!J540</f>
        <v>2</v>
      </c>
      <c r="K1398">
        <f>Clothing!K540</f>
        <v>2</v>
      </c>
      <c r="L1398">
        <f>Clothing!L540</f>
        <v>2</v>
      </c>
      <c r="M1398">
        <f>Clothing!M540</f>
        <v>3</v>
      </c>
      <c r="N1398" s="936">
        <f t="shared" ref="N1398" si="139">IF( OR( ISBLANK(H1398),ISBLANK(J1398), ISBLANK(K1398), ISBLANK(L1398), ISBLANK(M1398) ), "", 1.5*SQRT(   EXP(2.21*(H1398-1)) + EXP(2.21*(J1398-1)) + EXP(2.21*(K1398-1)) + EXP(2.21*(L1398-1)) + EXP(2.21*M1398)   )/100*2.45 )</f>
        <v>1.0301997916669636</v>
      </c>
      <c r="O1398" s="159">
        <f t="shared" ref="O1398" si="140">IF( OR( ISBLANK(I1398),ISBLANK(J1398), ISBLANK(K1398), ISBLANK(L1398), ISBLANK(M1398) ), "", 1.5*SQRT( EXP(2.21*(I1398-1)) + EXP(2.21*(J1398-1)) + EXP(2.21*(K1398-1)) + EXP(2.21*(L1398-1)) + EXP(2.21*M1398)   )/100*2.45 )</f>
        <v>1.0355058633207881</v>
      </c>
    </row>
    <row r="1399" spans="1:15" hidden="1">
      <c r="A1399" s="7" t="str">
        <f>Clothing!A541</f>
        <v>Closed-toed shoes</v>
      </c>
      <c r="B1399" s="7" t="str">
        <f>Clothing!B541</f>
        <v>Footwear wearing (soles)</v>
      </c>
      <c r="C1399" s="7" t="str">
        <f>Clothing!C541</f>
        <v>any</v>
      </c>
      <c r="D1399" s="7" t="str">
        <f>Clothing!D541</f>
        <v>PUR</v>
      </c>
      <c r="E1399" s="7">
        <f>Clothing!E541</f>
        <v>2.5413504031689942E-3</v>
      </c>
      <c r="F1399" s="7">
        <f>Clothing!F541</f>
        <v>3</v>
      </c>
      <c r="G1399" s="7" t="str">
        <f>Clothing!G541</f>
        <v>See shoesole wear calculation in clothing tab of MainInputFile</v>
      </c>
      <c r="H1399">
        <f>Clothing!H541</f>
        <v>1</v>
      </c>
      <c r="I1399">
        <f>Clothing!I541</f>
        <v>2</v>
      </c>
      <c r="J1399">
        <f>Clothing!J541</f>
        <v>2</v>
      </c>
      <c r="K1399">
        <f>Clothing!K541</f>
        <v>2</v>
      </c>
      <c r="L1399">
        <f>Clothing!L541</f>
        <v>2</v>
      </c>
      <c r="M1399">
        <f>Clothing!M541</f>
        <v>3</v>
      </c>
      <c r="N1399" s="990"/>
      <c r="O1399" s="813"/>
    </row>
    <row r="1400" spans="1:15" hidden="1">
      <c r="A1400" s="7" t="str">
        <f>Clothing!A542</f>
        <v>Closed-toed shoes</v>
      </c>
      <c r="B1400" s="7" t="str">
        <f>Clothing!B542</f>
        <v>Footwear wearing (soles)</v>
      </c>
      <c r="C1400" s="7" t="str">
        <f>Clothing!C542</f>
        <v>any</v>
      </c>
      <c r="D1400" s="7" t="str">
        <f>Clothing!D542</f>
        <v>PUR</v>
      </c>
      <c r="E1400" s="7">
        <f>Clothing!E542</f>
        <v>5.0827008063379885E-3</v>
      </c>
      <c r="F1400" s="7">
        <f>Clothing!F542</f>
        <v>3</v>
      </c>
      <c r="G1400" s="7" t="str">
        <f>Clothing!G542</f>
        <v>See shoesole wear calculation in clothing tab of MainInputFile</v>
      </c>
      <c r="H1400">
        <f>Clothing!H542</f>
        <v>1</v>
      </c>
      <c r="I1400">
        <f>Clothing!I542</f>
        <v>2</v>
      </c>
      <c r="J1400">
        <f>Clothing!J542</f>
        <v>2</v>
      </c>
      <c r="K1400">
        <f>Clothing!K542</f>
        <v>2</v>
      </c>
      <c r="L1400">
        <f>Clothing!L542</f>
        <v>2</v>
      </c>
      <c r="M1400">
        <f>Clothing!M542</f>
        <v>3</v>
      </c>
      <c r="N1400" s="64">
        <f t="shared" ref="N1400:N1402" si="141">IF( OR( ISBLANK(H1400),ISBLANK(J1400), ISBLANK(K1400), ISBLANK(L1400), ISBLANK(M1400) ), "", 1.5*SQRT(   EXP(2.21*(H1400-1)) + EXP(2.21*(J1400-1)) + EXP(2.21*(K1400-1)) + EXP(2.21*(L1400-1)) + EXP(2.21*M1400)   )/100*2.45 )</f>
        <v>1.0301997916669636</v>
      </c>
      <c r="O1400" s="64">
        <f t="shared" ref="O1400:O1402" si="142">IF( OR( ISBLANK(I1400),ISBLANK(J1400), ISBLANK(K1400), ISBLANK(L1400), ISBLANK(M1400) ), "", 1.5*SQRT( EXP(2.21*(I1400-1)) + EXP(2.21*(J1400-1)) + EXP(2.21*(K1400-1)) + EXP(2.21*(L1400-1)) + EXP(2.21*M1400)   )/100*2.45 )</f>
        <v>1.0355058633207881</v>
      </c>
    </row>
    <row r="1401" spans="1:15" hidden="1">
      <c r="A1401" s="7" t="str">
        <f>Clothing!A543</f>
        <v>Closed-toed shoes</v>
      </c>
      <c r="B1401" s="7" t="str">
        <f>Clothing!B543</f>
        <v>Footwear wearing (soles)</v>
      </c>
      <c r="C1401" s="7" t="str">
        <f>Clothing!C543</f>
        <v>any</v>
      </c>
      <c r="D1401" s="7" t="str">
        <f>Clothing!D543</f>
        <v>OTHER</v>
      </c>
      <c r="E1401" s="7">
        <f>Clothing!E543</f>
        <v>2.6370870403593857E-3</v>
      </c>
      <c r="F1401" s="7">
        <f>Clothing!F543</f>
        <v>3</v>
      </c>
      <c r="G1401" s="7" t="str">
        <f>Clothing!G543</f>
        <v>See shoesole wear calculation in clothing tab of MainInputFile</v>
      </c>
      <c r="H1401">
        <f>Clothing!H543</f>
        <v>1</v>
      </c>
      <c r="I1401">
        <f>Clothing!I543</f>
        <v>2</v>
      </c>
      <c r="J1401">
        <f>Clothing!J543</f>
        <v>2</v>
      </c>
      <c r="K1401">
        <f>Clothing!K543</f>
        <v>2</v>
      </c>
      <c r="L1401">
        <f>Clothing!L543</f>
        <v>2</v>
      </c>
      <c r="M1401">
        <f>Clothing!M543</f>
        <v>3</v>
      </c>
      <c r="N1401" s="185">
        <f t="shared" si="141"/>
        <v>1.0301997916669636</v>
      </c>
      <c r="O1401" s="159">
        <f t="shared" si="142"/>
        <v>1.0355058633207881</v>
      </c>
    </row>
    <row r="1402" spans="1:15" hidden="1">
      <c r="A1402" s="7" t="str">
        <f>Clothing!A544</f>
        <v>Closed-toed shoes</v>
      </c>
      <c r="B1402" s="7" t="str">
        <f>Clothing!B544</f>
        <v>Footwear wearing (soles)</v>
      </c>
      <c r="C1402" s="7" t="str">
        <f>Clothing!C544</f>
        <v>any</v>
      </c>
      <c r="D1402" s="7" t="str">
        <f>Clothing!D544</f>
        <v>OTHER</v>
      </c>
      <c r="E1402" s="7">
        <f>Clothing!E544</f>
        <v>5.2741740807187715E-3</v>
      </c>
      <c r="F1402" s="7">
        <f>Clothing!F544</f>
        <v>3</v>
      </c>
      <c r="G1402" s="7" t="str">
        <f>Clothing!G544</f>
        <v>See shoesole wear calculation in clothing tab of MainInputFile</v>
      </c>
      <c r="H1402">
        <f>Clothing!H544</f>
        <v>1</v>
      </c>
      <c r="I1402">
        <f>Clothing!I544</f>
        <v>2</v>
      </c>
      <c r="J1402">
        <f>Clothing!J544</f>
        <v>2</v>
      </c>
      <c r="K1402">
        <f>Clothing!K544</f>
        <v>2</v>
      </c>
      <c r="L1402">
        <f>Clothing!L544</f>
        <v>2</v>
      </c>
      <c r="M1402">
        <f>Clothing!M544</f>
        <v>3</v>
      </c>
      <c r="N1402" s="185">
        <f t="shared" si="141"/>
        <v>1.0301997916669636</v>
      </c>
      <c r="O1402" s="159">
        <f t="shared" si="142"/>
        <v>1.0355058633207881</v>
      </c>
    </row>
    <row r="1403" spans="1:15" hidden="1">
      <c r="A1403" s="7" t="str">
        <f>Clothing!A545</f>
        <v>Closed-toed shoes</v>
      </c>
      <c r="B1403" s="7" t="str">
        <f>Clothing!B545</f>
        <v>Footwear wearing (soles)</v>
      </c>
      <c r="C1403" s="7" t="str">
        <f>Clothing!C545</f>
        <v>any</v>
      </c>
      <c r="D1403" s="7" t="str">
        <f>Clothing!D545</f>
        <v>PVC</v>
      </c>
      <c r="E1403" s="7">
        <f>Clothing!E545</f>
        <v>3.2506855134566658E-3</v>
      </c>
      <c r="F1403" s="7">
        <f>Clothing!F545</f>
        <v>3</v>
      </c>
      <c r="G1403" s="7" t="str">
        <f>Clothing!G545</f>
        <v>See shoesole wear calculation in clothing tab of MainInputFile</v>
      </c>
      <c r="H1403">
        <f>Clothing!H545</f>
        <v>1</v>
      </c>
      <c r="I1403">
        <f>Clothing!I545</f>
        <v>2</v>
      </c>
      <c r="J1403">
        <f>Clothing!J545</f>
        <v>2</v>
      </c>
      <c r="K1403">
        <f>Clothing!K545</f>
        <v>2</v>
      </c>
      <c r="L1403">
        <f>Clothing!L545</f>
        <v>2</v>
      </c>
      <c r="M1403">
        <f>Clothing!M545</f>
        <v>3</v>
      </c>
      <c r="N1403" s="185"/>
      <c r="O1403" s="159"/>
    </row>
    <row r="1404" spans="1:15" hidden="1">
      <c r="A1404" s="7" t="str">
        <f>Clothing!A546</f>
        <v>Closed-toed shoes</v>
      </c>
      <c r="B1404" s="7" t="str">
        <f>Clothing!B546</f>
        <v>Footwear wearing (soles)</v>
      </c>
      <c r="C1404" s="7" t="str">
        <f>Clothing!C546</f>
        <v>any</v>
      </c>
      <c r="D1404" s="7" t="str">
        <f>Clothing!D546</f>
        <v>PVC</v>
      </c>
      <c r="E1404" s="7">
        <f>Clothing!E546</f>
        <v>6.5013710269133315E-3</v>
      </c>
      <c r="F1404" s="7">
        <f>Clothing!F546</f>
        <v>3</v>
      </c>
      <c r="G1404" s="7" t="str">
        <f>Clothing!G546</f>
        <v>See shoesole wear calculation in clothing tab of MainInputFile</v>
      </c>
      <c r="H1404">
        <f>Clothing!H546</f>
        <v>1</v>
      </c>
      <c r="I1404">
        <f>Clothing!I546</f>
        <v>2</v>
      </c>
      <c r="J1404">
        <f>Clothing!J546</f>
        <v>2</v>
      </c>
      <c r="K1404">
        <f>Clothing!K546</f>
        <v>2</v>
      </c>
      <c r="L1404">
        <f>Clothing!L546</f>
        <v>2</v>
      </c>
      <c r="M1404">
        <f>Clothing!M546</f>
        <v>3</v>
      </c>
      <c r="N1404" s="185"/>
      <c r="O1404" s="159"/>
    </row>
    <row r="1405" spans="1:15" hidden="1">
      <c r="A1405" s="7" t="str">
        <f>Clothing!A547</f>
        <v>Closed-toed shoes</v>
      </c>
      <c r="B1405" s="7" t="str">
        <f>Clothing!B547</f>
        <v>Footwear wearing (uppers)</v>
      </c>
      <c r="C1405" s="7" t="str">
        <f>Clothing!C547</f>
        <v>any</v>
      </c>
      <c r="D1405" s="7" t="str">
        <f>Clothing!D547</f>
        <v>PA</v>
      </c>
      <c r="E1405" s="7">
        <f>Clothing!E547</f>
        <v>3.0249999999999999E-3</v>
      </c>
      <c r="F1405" s="7">
        <f>Clothing!F547</f>
        <v>3</v>
      </c>
      <c r="G1405" s="7" t="str">
        <f>Clothing!G547</f>
        <v>Average loss during wear, Kawecki et al. 2019, SI table 17</v>
      </c>
      <c r="H1405">
        <f>Clothing!H547</f>
        <v>2</v>
      </c>
      <c r="I1405">
        <f>Clothing!I547</f>
        <v>2</v>
      </c>
      <c r="J1405">
        <f>Clothing!J547</f>
        <v>2</v>
      </c>
      <c r="K1405">
        <f>Clothing!K547</f>
        <v>2</v>
      </c>
      <c r="L1405">
        <f>Clothing!L547</f>
        <v>2</v>
      </c>
      <c r="M1405">
        <f>Clothing!M547</f>
        <v>2</v>
      </c>
      <c r="N1405" s="185">
        <f t="shared" ref="N1405:N1406" si="143">IF( OR( ISBLANK(H1405),ISBLANK(J1405), ISBLANK(K1405), ISBLANK(L1405), ISBLANK(M1405) ), "", 1.5*SQRT(   EXP(2.21*(H1405-1)) + EXP(2.21*(J1405-1)) + EXP(2.21*(K1405-1)) + EXP(2.21*(L1405-1)) + EXP(2.21*M1405)   )/100*2.45 )</f>
        <v>0.40183591897512122</v>
      </c>
      <c r="O1405" s="159">
        <f t="shared" ref="O1405:O1407" si="144">IF( OR( ISBLANK(I1405),ISBLANK(J1405), ISBLANK(K1405), ISBLANK(L1405), ISBLANK(M1405) ), "", 1.5*SQRT( EXP(2.21*(I1405-1)) + EXP(2.21*(J1405-1)) + EXP(2.21*(K1405-1)) + EXP(2.21*(L1405-1)) + EXP(2.21*M1405)   )/100*2.45 )</f>
        <v>0.40183591897512122</v>
      </c>
    </row>
    <row r="1406" spans="1:15" hidden="1">
      <c r="A1406" s="7" t="str">
        <f>Clothing!A548</f>
        <v>Closed-toed shoes</v>
      </c>
      <c r="B1406" s="7" t="str">
        <f>Clothing!B548</f>
        <v>Footwear wearing (uppers)</v>
      </c>
      <c r="C1406" s="7" t="str">
        <f>Clothing!C548</f>
        <v>any</v>
      </c>
      <c r="D1406" s="7" t="str">
        <f>Clothing!D548</f>
        <v>PET</v>
      </c>
      <c r="E1406" s="7">
        <f>Clothing!E548</f>
        <v>3.4544305000000009E-4</v>
      </c>
      <c r="F1406" s="7">
        <f>Clothing!F548</f>
        <v>3</v>
      </c>
      <c r="G1406" s="7" t="str">
        <f>Clothing!G548</f>
        <v>Average loss during wear, Kawecki et al. 2019, SI table 17</v>
      </c>
      <c r="H1406">
        <f>Clothing!H548</f>
        <v>2</v>
      </c>
      <c r="I1406">
        <f>Clothing!I548</f>
        <v>2</v>
      </c>
      <c r="J1406">
        <f>Clothing!J548</f>
        <v>2</v>
      </c>
      <c r="K1406">
        <f>Clothing!K548</f>
        <v>2</v>
      </c>
      <c r="L1406">
        <f>Clothing!L548</f>
        <v>2</v>
      </c>
      <c r="M1406">
        <f>Clothing!M548</f>
        <v>2</v>
      </c>
      <c r="N1406" s="185">
        <f t="shared" si="143"/>
        <v>0.40183591897512122</v>
      </c>
      <c r="O1406" s="159">
        <f t="shared" si="144"/>
        <v>0.40183591897512122</v>
      </c>
    </row>
    <row r="1407" spans="1:15" hidden="1">
      <c r="A1407" s="7" t="str">
        <f>Clothing!A549</f>
        <v>Closed-toed shoes</v>
      </c>
      <c r="B1407" s="7" t="str">
        <f>Clothing!B549</f>
        <v>Clothing washing</v>
      </c>
      <c r="C1407" s="7" t="str">
        <f>Clothing!C549</f>
        <v>any</v>
      </c>
      <c r="D1407" s="7" t="str">
        <f>Clothing!D549</f>
        <v>any</v>
      </c>
      <c r="E1407" s="7">
        <f>Clothing!E549</f>
        <v>3.4544305000000009E-4</v>
      </c>
      <c r="F1407" s="7">
        <f>Clothing!F549</f>
        <v>2</v>
      </c>
      <c r="G1407" s="7" t="str">
        <f>Clothing!G549</f>
        <v>Computed from available data from Kawecki et al. (2019) and CBS (2022)</v>
      </c>
      <c r="H1407">
        <f>Clothing!H549</f>
        <v>2</v>
      </c>
      <c r="I1407">
        <f>Clothing!I549</f>
        <v>2</v>
      </c>
      <c r="J1407">
        <f>Clothing!J549</f>
        <v>2</v>
      </c>
      <c r="K1407">
        <f>Clothing!K549</f>
        <v>2</v>
      </c>
      <c r="L1407">
        <f>Clothing!L549</f>
        <v>2</v>
      </c>
      <c r="M1407">
        <f>Clothing!M549</f>
        <v>2</v>
      </c>
      <c r="N1407" s="936"/>
      <c r="O1407" s="159">
        <f t="shared" si="144"/>
        <v>0.40183591897512122</v>
      </c>
    </row>
    <row r="1408" spans="1:15" ht="15" hidden="1" thickBot="1">
      <c r="A1408" s="7" t="str">
        <f>Clothing!A550</f>
        <v>Open-toed shoes</v>
      </c>
      <c r="B1408" s="7" t="str">
        <f>Clothing!B550</f>
        <v>Footwear waste collection</v>
      </c>
      <c r="C1408" s="7" t="str">
        <f>Clothing!C550</f>
        <v>any</v>
      </c>
      <c r="D1408" s="7" t="str">
        <f>Clothing!D550</f>
        <v>any</v>
      </c>
      <c r="E1408" s="7">
        <f>Clothing!E550</f>
        <v>0.25</v>
      </c>
      <c r="F1408" s="7">
        <f>Clothing!F550</f>
        <v>2</v>
      </c>
      <c r="G1408" s="7" t="str">
        <f>Clothing!G550</f>
        <v>(de Waart et al., 2023)</v>
      </c>
      <c r="H1408">
        <f>Clothing!H550</f>
        <v>2</v>
      </c>
      <c r="I1408">
        <f>Clothing!I550</f>
        <v>2</v>
      </c>
      <c r="J1408">
        <f>Clothing!J550</f>
        <v>2</v>
      </c>
      <c r="K1408">
        <f>Clothing!K550</f>
        <v>3</v>
      </c>
      <c r="L1408">
        <f>Clothing!L550</f>
        <v>2</v>
      </c>
      <c r="M1408">
        <f>Clothing!M550</f>
        <v>2</v>
      </c>
      <c r="N1408" s="998"/>
      <c r="O1408" s="160"/>
    </row>
    <row r="1409" spans="1:15" hidden="1">
      <c r="A1409" s="7" t="str">
        <f>Clothing!A551</f>
        <v>Open-toed shoes</v>
      </c>
      <c r="B1409" s="7" t="str">
        <f>Clothing!B551</f>
        <v>Mixed waste collection</v>
      </c>
      <c r="C1409" s="7" t="str">
        <f>Clothing!C551</f>
        <v>any</v>
      </c>
      <c r="D1409" s="7" t="str">
        <f>Clothing!D551</f>
        <v>any</v>
      </c>
      <c r="E1409" s="7" t="str">
        <f>Clothing!E551</f>
        <v>rest</v>
      </c>
      <c r="F1409" s="7">
        <f>Clothing!F551</f>
        <v>1</v>
      </c>
      <c r="H1409"/>
      <c r="I1409"/>
      <c r="J1409"/>
      <c r="K1409"/>
      <c r="L1409"/>
      <c r="M1409"/>
      <c r="N1409" s="185"/>
      <c r="O1409" s="159"/>
    </row>
    <row r="1410" spans="1:15" hidden="1">
      <c r="A1410" s="7" t="str">
        <f>Clothing!A552</f>
        <v>Open-toed shoes</v>
      </c>
      <c r="B1410" s="7" t="str">
        <f>Clothing!B552</f>
        <v>Dumping</v>
      </c>
      <c r="C1410" s="7" t="str">
        <f>Clothing!C552</f>
        <v>any</v>
      </c>
      <c r="D1410" s="7" t="str">
        <f>Clothing!D552</f>
        <v>any</v>
      </c>
      <c r="E1410" s="7">
        <f>Clothing!E552</f>
        <v>2.6918324999999996E-4</v>
      </c>
      <c r="F1410" s="7">
        <f>Clothing!F552</f>
        <v>2</v>
      </c>
      <c r="G1410" s="7" t="str">
        <f>Clothing!G552</f>
        <v>Kawecki &amp; Nowack (2019)</v>
      </c>
      <c r="H1410">
        <f>Clothing!H552</f>
        <v>2</v>
      </c>
      <c r="I1410">
        <f>Clothing!I552</f>
        <v>2</v>
      </c>
      <c r="J1410">
        <f>Clothing!J552</f>
        <v>2</v>
      </c>
      <c r="K1410">
        <f>Clothing!K552</f>
        <v>3</v>
      </c>
      <c r="L1410">
        <f>Clothing!L552</f>
        <v>3</v>
      </c>
      <c r="M1410">
        <f>Clothing!M552</f>
        <v>3</v>
      </c>
      <c r="N1410" s="185">
        <f t="shared" ref="N1410" si="145">IF( OR( ISBLANK(H1410),ISBLANK(J1410), ISBLANK(K1410), ISBLANK(L1410), ISBLANK(M1410) ), "", 1.5*SQRT(   EXP(2.21*(H1410-1)) + EXP(2.21*(J1410-1)) + EXP(2.21*(K1410-1)) + EXP(2.21*(L1410-1)) + EXP(2.21*M1410)   )/100*2.45 )</f>
        <v>1.1278755061256258</v>
      </c>
      <c r="O1410" s="159">
        <f t="shared" ref="O1410" si="146">IF( OR( ISBLANK(I1410),ISBLANK(J1410), ISBLANK(K1410), ISBLANK(L1410), ISBLANK(M1410) ), "", 1.5*SQRT( EXP(2.21*(I1410-1)) + EXP(2.21*(J1410-1)) + EXP(2.21*(K1410-1)) + EXP(2.21*(L1410-1)) + EXP(2.21*M1410)   )/100*2.45 )</f>
        <v>1.1278755061256258</v>
      </c>
    </row>
    <row r="1411" spans="1:15" hidden="1">
      <c r="A1411" s="7" t="str">
        <f>Clothing!A553</f>
        <v>Open-toed shoes</v>
      </c>
      <c r="B1411" s="7" t="str">
        <f>Clothing!B553</f>
        <v>Footwear wearing (soles)</v>
      </c>
      <c r="C1411" s="7" t="str">
        <f>Clothing!C553</f>
        <v>any</v>
      </c>
      <c r="D1411" s="7" t="str">
        <f>Clothing!D553</f>
        <v>RUBBER</v>
      </c>
      <c r="E1411" s="7">
        <f>Clothing!E553</f>
        <v>5.7712387375211246E-3</v>
      </c>
      <c r="F1411" s="7">
        <f>Clothing!F553</f>
        <v>3</v>
      </c>
      <c r="G1411" s="7" t="str">
        <f>Clothing!G553</f>
        <v>See shoesole wear calculation in clothing tab of MainInputFile</v>
      </c>
      <c r="H1411">
        <f>Clothing!H553</f>
        <v>1</v>
      </c>
      <c r="I1411">
        <f>Clothing!I553</f>
        <v>2</v>
      </c>
      <c r="J1411">
        <f>Clothing!J553</f>
        <v>2</v>
      </c>
      <c r="K1411">
        <f>Clothing!K553</f>
        <v>2</v>
      </c>
      <c r="L1411">
        <f>Clothing!L553</f>
        <v>2</v>
      </c>
      <c r="M1411">
        <f>Clothing!M553</f>
        <v>3</v>
      </c>
      <c r="N1411" s="185"/>
      <c r="O1411" s="159"/>
    </row>
    <row r="1412" spans="1:15" hidden="1">
      <c r="A1412" s="7" t="str">
        <f>Clothing!A554</f>
        <v>Open-toed shoes</v>
      </c>
      <c r="B1412" s="7" t="str">
        <f>Clothing!B554</f>
        <v>Footwear wearing (soles)</v>
      </c>
      <c r="C1412" s="7" t="str">
        <f>Clothing!C554</f>
        <v>any</v>
      </c>
      <c r="D1412" s="7" t="str">
        <f>Clothing!D554</f>
        <v>RUBBER</v>
      </c>
      <c r="E1412" s="7">
        <f>Clothing!E554</f>
        <v>1.1542477475042249E-2</v>
      </c>
      <c r="F1412" s="7">
        <f>Clothing!F554</f>
        <v>3</v>
      </c>
      <c r="G1412" s="7" t="str">
        <f>Clothing!G554</f>
        <v>See shoesole wear calculation in clothing tab of MainInputFile</v>
      </c>
      <c r="H1412">
        <f>Clothing!H554</f>
        <v>1</v>
      </c>
      <c r="I1412">
        <f>Clothing!I554</f>
        <v>2</v>
      </c>
      <c r="J1412">
        <f>Clothing!J554</f>
        <v>2</v>
      </c>
      <c r="K1412">
        <f>Clothing!K554</f>
        <v>2</v>
      </c>
      <c r="L1412">
        <f>Clothing!L554</f>
        <v>2</v>
      </c>
      <c r="M1412">
        <f>Clothing!M554</f>
        <v>3</v>
      </c>
      <c r="N1412" s="936">
        <f t="shared" ref="N1412" si="147">IF( OR( ISBLANK(H1412),ISBLANK(J1412), ISBLANK(K1412), ISBLANK(L1412), ISBLANK(M1412) ), "", 1.5*SQRT(   EXP(2.21*(H1412-1)) + EXP(2.21*(J1412-1)) + EXP(2.21*(K1412-1)) + EXP(2.21*(L1412-1)) + EXP(2.21*M1412)   )/100*2.45 )</f>
        <v>1.0301997916669636</v>
      </c>
      <c r="O1412" s="159">
        <f t="shared" ref="O1412" si="148">IF( OR( ISBLANK(I1412),ISBLANK(J1412), ISBLANK(K1412), ISBLANK(L1412), ISBLANK(M1412) ), "", 1.5*SQRT( EXP(2.21*(I1412-1)) + EXP(2.21*(J1412-1)) + EXP(2.21*(K1412-1)) + EXP(2.21*(L1412-1)) + EXP(2.21*M1412)   )/100*2.45 )</f>
        <v>1.0355058633207881</v>
      </c>
    </row>
    <row r="1413" spans="1:15" hidden="1">
      <c r="A1413" s="7" t="str">
        <f>Clothing!A555</f>
        <v>Open-toed shoes</v>
      </c>
      <c r="B1413" s="7" t="str">
        <f>Clothing!B555</f>
        <v>Footwear wearing (soles)</v>
      </c>
      <c r="C1413" s="7" t="str">
        <f>Clothing!C555</f>
        <v>any</v>
      </c>
      <c r="D1413" s="7" t="str">
        <f>Clothing!D555</f>
        <v>PUR</v>
      </c>
      <c r="E1413" s="7">
        <f>Clothing!E555</f>
        <v>2.5413504031689942E-3</v>
      </c>
      <c r="F1413" s="7">
        <f>Clothing!F555</f>
        <v>3</v>
      </c>
      <c r="G1413" s="7" t="str">
        <f>Clothing!G555</f>
        <v>See shoesole wear calculation in clothing tab of MainInputFile</v>
      </c>
      <c r="H1413">
        <f>Clothing!H555</f>
        <v>1</v>
      </c>
      <c r="I1413">
        <f>Clothing!I555</f>
        <v>2</v>
      </c>
      <c r="J1413">
        <f>Clothing!J555</f>
        <v>2</v>
      </c>
      <c r="K1413">
        <f>Clothing!K555</f>
        <v>2</v>
      </c>
      <c r="L1413">
        <f>Clothing!L555</f>
        <v>2</v>
      </c>
      <c r="M1413">
        <f>Clothing!M555</f>
        <v>3</v>
      </c>
      <c r="N1413" s="990"/>
      <c r="O1413" s="813"/>
    </row>
    <row r="1414" spans="1:15" hidden="1">
      <c r="A1414" s="7" t="str">
        <f>Clothing!A556</f>
        <v>Open-toed shoes</v>
      </c>
      <c r="B1414" s="7" t="str">
        <f>Clothing!B556</f>
        <v>Footwear wearing (soles)</v>
      </c>
      <c r="C1414" s="7" t="str">
        <f>Clothing!C556</f>
        <v>any</v>
      </c>
      <c r="D1414" s="7" t="str">
        <f>Clothing!D556</f>
        <v>PUR</v>
      </c>
      <c r="E1414" s="7">
        <f>Clothing!E556</f>
        <v>5.0827008063379885E-3</v>
      </c>
      <c r="F1414" s="7">
        <f>Clothing!F556</f>
        <v>3</v>
      </c>
      <c r="G1414" s="7" t="str">
        <f>Clothing!G556</f>
        <v>See shoesole wear calculation in clothing tab of MainInputFile</v>
      </c>
      <c r="H1414">
        <f>Clothing!H556</f>
        <v>1</v>
      </c>
      <c r="I1414">
        <f>Clothing!I556</f>
        <v>2</v>
      </c>
      <c r="J1414">
        <f>Clothing!J556</f>
        <v>2</v>
      </c>
      <c r="K1414">
        <f>Clothing!K556</f>
        <v>2</v>
      </c>
      <c r="L1414">
        <f>Clothing!L556</f>
        <v>2</v>
      </c>
      <c r="M1414">
        <f>Clothing!M556</f>
        <v>3</v>
      </c>
      <c r="N1414" s="64">
        <f t="shared" ref="N1414:N1416" si="149">IF( OR( ISBLANK(H1414),ISBLANK(J1414), ISBLANK(K1414), ISBLANK(L1414), ISBLANK(M1414) ), "", 1.5*SQRT(   EXP(2.21*(H1414-1)) + EXP(2.21*(J1414-1)) + EXP(2.21*(K1414-1)) + EXP(2.21*(L1414-1)) + EXP(2.21*M1414)   )/100*2.45 )</f>
        <v>1.0301997916669636</v>
      </c>
      <c r="O1414" s="64">
        <f t="shared" ref="O1414:O1416" si="150">IF( OR( ISBLANK(I1414),ISBLANK(J1414), ISBLANK(K1414), ISBLANK(L1414), ISBLANK(M1414) ), "", 1.5*SQRT( EXP(2.21*(I1414-1)) + EXP(2.21*(J1414-1)) + EXP(2.21*(K1414-1)) + EXP(2.21*(L1414-1)) + EXP(2.21*M1414)   )/100*2.45 )</f>
        <v>1.0355058633207881</v>
      </c>
    </row>
    <row r="1415" spans="1:15" hidden="1">
      <c r="A1415" s="7" t="str">
        <f>Clothing!A557</f>
        <v>Open-toed shoes</v>
      </c>
      <c r="B1415" s="7" t="str">
        <f>Clothing!B557</f>
        <v>Footwear wearing (soles)</v>
      </c>
      <c r="C1415" s="7" t="str">
        <f>Clothing!C557</f>
        <v>any</v>
      </c>
      <c r="D1415" s="7" t="str">
        <f>Clothing!D557</f>
        <v>OTHER</v>
      </c>
      <c r="E1415" s="7">
        <f>Clothing!E557</f>
        <v>2.6370870403593857E-3</v>
      </c>
      <c r="F1415" s="7">
        <f>Clothing!F557</f>
        <v>3</v>
      </c>
      <c r="G1415" s="7" t="str">
        <f>Clothing!G557</f>
        <v>See shoesole wear calculation in clothing tab of MainInputFile</v>
      </c>
      <c r="H1415">
        <f>Clothing!H557</f>
        <v>1</v>
      </c>
      <c r="I1415">
        <f>Clothing!I557</f>
        <v>2</v>
      </c>
      <c r="J1415">
        <f>Clothing!J557</f>
        <v>2</v>
      </c>
      <c r="K1415">
        <f>Clothing!K557</f>
        <v>2</v>
      </c>
      <c r="L1415">
        <f>Clothing!L557</f>
        <v>2</v>
      </c>
      <c r="M1415">
        <f>Clothing!M557</f>
        <v>3</v>
      </c>
      <c r="N1415" s="185">
        <f t="shared" si="149"/>
        <v>1.0301997916669636</v>
      </c>
      <c r="O1415" s="159">
        <f t="shared" si="150"/>
        <v>1.0355058633207881</v>
      </c>
    </row>
    <row r="1416" spans="1:15" hidden="1">
      <c r="A1416" s="7" t="str">
        <f>Clothing!A558</f>
        <v>Open-toed shoes</v>
      </c>
      <c r="B1416" s="7" t="str">
        <f>Clothing!B558</f>
        <v>Footwear wearing (soles)</v>
      </c>
      <c r="C1416" s="7" t="str">
        <f>Clothing!C558</f>
        <v>any</v>
      </c>
      <c r="D1416" s="7" t="str">
        <f>Clothing!D558</f>
        <v>OTHER</v>
      </c>
      <c r="E1416" s="7">
        <f>Clothing!E558</f>
        <v>5.2741740807187715E-3</v>
      </c>
      <c r="F1416" s="7">
        <f>Clothing!F558</f>
        <v>3</v>
      </c>
      <c r="G1416" s="7" t="str">
        <f>Clothing!G558</f>
        <v>See shoesole wear calculation in clothing tab of MainInputFile</v>
      </c>
      <c r="H1416">
        <f>Clothing!H558</f>
        <v>1</v>
      </c>
      <c r="I1416">
        <f>Clothing!I558</f>
        <v>2</v>
      </c>
      <c r="J1416">
        <f>Clothing!J558</f>
        <v>2</v>
      </c>
      <c r="K1416">
        <f>Clothing!K558</f>
        <v>2</v>
      </c>
      <c r="L1416">
        <f>Clothing!L558</f>
        <v>2</v>
      </c>
      <c r="M1416">
        <f>Clothing!M558</f>
        <v>3</v>
      </c>
      <c r="N1416" s="185">
        <f t="shared" si="149"/>
        <v>1.0301997916669636</v>
      </c>
      <c r="O1416" s="159">
        <f t="shared" si="150"/>
        <v>1.0355058633207881</v>
      </c>
    </row>
    <row r="1417" spans="1:15" hidden="1">
      <c r="A1417" s="7" t="str">
        <f>Clothing!A559</f>
        <v>Open-toed shoes</v>
      </c>
      <c r="B1417" s="7" t="str">
        <f>Clothing!B559</f>
        <v>Footwear wearing (soles)</v>
      </c>
      <c r="C1417" s="7" t="str">
        <f>Clothing!C559</f>
        <v>any</v>
      </c>
      <c r="D1417" s="7" t="str">
        <f>Clothing!D559</f>
        <v>PVC</v>
      </c>
      <c r="E1417" s="7">
        <f>Clothing!E559</f>
        <v>3.2506855134566658E-3</v>
      </c>
      <c r="F1417" s="7">
        <f>Clothing!F559</f>
        <v>3</v>
      </c>
      <c r="G1417" s="7" t="str">
        <f>Clothing!G559</f>
        <v>See shoesole wear calculation in clothing tab of MainInputFile</v>
      </c>
      <c r="H1417">
        <f>Clothing!H559</f>
        <v>1</v>
      </c>
      <c r="I1417">
        <f>Clothing!I559</f>
        <v>2</v>
      </c>
      <c r="J1417">
        <f>Clothing!J559</f>
        <v>2</v>
      </c>
      <c r="K1417">
        <f>Clothing!K559</f>
        <v>2</v>
      </c>
      <c r="L1417">
        <f>Clothing!L559</f>
        <v>2</v>
      </c>
      <c r="M1417">
        <f>Clothing!M559</f>
        <v>3</v>
      </c>
      <c r="N1417" s="185"/>
      <c r="O1417" s="159"/>
    </row>
    <row r="1418" spans="1:15" hidden="1">
      <c r="A1418" s="7" t="str">
        <f>Clothing!A560</f>
        <v>Open-toed shoes</v>
      </c>
      <c r="B1418" s="7" t="str">
        <f>Clothing!B560</f>
        <v>Footwear wearing (soles)</v>
      </c>
      <c r="C1418" s="7" t="str">
        <f>Clothing!C560</f>
        <v>any</v>
      </c>
      <c r="D1418" s="7" t="str">
        <f>Clothing!D560</f>
        <v>PVC</v>
      </c>
      <c r="E1418" s="7">
        <f>Clothing!E560</f>
        <v>6.5013710269133315E-3</v>
      </c>
      <c r="F1418" s="7">
        <f>Clothing!F560</f>
        <v>3</v>
      </c>
      <c r="G1418" s="7" t="str">
        <f>Clothing!G560</f>
        <v>See shoesole wear calculation in clothing tab of MainInputFile</v>
      </c>
      <c r="H1418">
        <f>Clothing!H560</f>
        <v>1</v>
      </c>
      <c r="I1418">
        <f>Clothing!I560</f>
        <v>2</v>
      </c>
      <c r="J1418">
        <f>Clothing!J560</f>
        <v>2</v>
      </c>
      <c r="K1418">
        <f>Clothing!K560</f>
        <v>2</v>
      </c>
      <c r="L1418">
        <f>Clothing!L560</f>
        <v>2</v>
      </c>
      <c r="M1418">
        <f>Clothing!M560</f>
        <v>3</v>
      </c>
      <c r="N1418" s="185"/>
      <c r="O1418" s="159"/>
    </row>
    <row r="1419" spans="1:15" hidden="1">
      <c r="A1419" s="7" t="str">
        <f>Clothing!A561</f>
        <v>Open-toed shoes</v>
      </c>
      <c r="B1419" s="7" t="str">
        <f>Clothing!B561</f>
        <v>Footwear wearing (uppers)</v>
      </c>
      <c r="C1419" s="7" t="str">
        <f>Clothing!C561</f>
        <v>any</v>
      </c>
      <c r="D1419" s="7" t="str">
        <f>Clothing!D561</f>
        <v>PA</v>
      </c>
      <c r="E1419" s="7">
        <f>Clothing!E561</f>
        <v>3.0249999999999999E-3</v>
      </c>
      <c r="F1419" s="7">
        <f>Clothing!F561</f>
        <v>3</v>
      </c>
      <c r="G1419" s="7" t="str">
        <f>Clothing!G561</f>
        <v>Average loss during wear, Kawecki et al. 2019, SI table 17</v>
      </c>
      <c r="H1419">
        <f>Clothing!H561</f>
        <v>2</v>
      </c>
      <c r="I1419">
        <f>Clothing!I561</f>
        <v>2</v>
      </c>
      <c r="J1419">
        <f>Clothing!J561</f>
        <v>2</v>
      </c>
      <c r="K1419">
        <f>Clothing!K561</f>
        <v>2</v>
      </c>
      <c r="L1419">
        <f>Clothing!L561</f>
        <v>2</v>
      </c>
      <c r="M1419">
        <f>Clothing!M561</f>
        <v>2</v>
      </c>
      <c r="N1419" s="185">
        <f t="shared" ref="N1419:N1420" si="151">IF( OR( ISBLANK(H1419),ISBLANK(J1419), ISBLANK(K1419), ISBLANK(L1419), ISBLANK(M1419) ), "", 1.5*SQRT(   EXP(2.21*(H1419-1)) + EXP(2.21*(J1419-1)) + EXP(2.21*(K1419-1)) + EXP(2.21*(L1419-1)) + EXP(2.21*M1419)   )/100*2.45 )</f>
        <v>0.40183591897512122</v>
      </c>
      <c r="O1419" s="159">
        <f t="shared" ref="O1419:O1420" si="152">IF( OR( ISBLANK(I1419),ISBLANK(J1419), ISBLANK(K1419), ISBLANK(L1419), ISBLANK(M1419) ), "", 1.5*SQRT( EXP(2.21*(I1419-1)) + EXP(2.21*(J1419-1)) + EXP(2.21*(K1419-1)) + EXP(2.21*(L1419-1)) + EXP(2.21*M1419)   )/100*2.45 )</f>
        <v>0.40183591897512122</v>
      </c>
    </row>
    <row r="1420" spans="1:15" ht="15" hidden="1" thickBot="1">
      <c r="A1420" s="997" t="str">
        <f>Clothing!A562</f>
        <v>Open-toed shoes</v>
      </c>
      <c r="B1420" s="997" t="str">
        <f>Clothing!B562</f>
        <v>Footwear wearing (uppers)</v>
      </c>
      <c r="C1420" s="997" t="str">
        <f>Clothing!C562</f>
        <v>any</v>
      </c>
      <c r="D1420" s="997" t="str">
        <f>Clothing!D562</f>
        <v>PET</v>
      </c>
      <c r="E1420" s="997">
        <f>Clothing!E562</f>
        <v>3.0249999999999999E-3</v>
      </c>
      <c r="F1420" s="997">
        <f>Clothing!F562</f>
        <v>3</v>
      </c>
      <c r="G1420" s="997" t="str">
        <f>Clothing!G562</f>
        <v>Average loss during wear, Kawecki et al. 2019, SI table 17</v>
      </c>
      <c r="H1420">
        <f>Clothing!H562</f>
        <v>2</v>
      </c>
      <c r="I1420">
        <f>Clothing!I562</f>
        <v>2</v>
      </c>
      <c r="J1420">
        <f>Clothing!J562</f>
        <v>2</v>
      </c>
      <c r="K1420">
        <f>Clothing!K562</f>
        <v>2</v>
      </c>
      <c r="L1420">
        <f>Clothing!L562</f>
        <v>2</v>
      </c>
      <c r="M1420">
        <f>Clothing!M562</f>
        <v>2</v>
      </c>
      <c r="N1420" s="902">
        <f t="shared" si="151"/>
        <v>0.40183591897512122</v>
      </c>
      <c r="O1420" s="160">
        <f t="shared" si="152"/>
        <v>0.40183591897512122</v>
      </c>
    </row>
    <row r="1421" spans="1:15" hidden="1">
      <c r="A1421" s="7" t="s">
        <v>232</v>
      </c>
      <c r="B1421" s="7" t="s">
        <v>366</v>
      </c>
      <c r="C1421" s="7" t="s">
        <v>139</v>
      </c>
      <c r="D1421" s="7" t="s">
        <v>139</v>
      </c>
      <c r="E1421" s="64">
        <v>0.03</v>
      </c>
      <c r="F1421" s="1021">
        <v>2</v>
      </c>
      <c r="G1421" s="7" t="s">
        <v>364</v>
      </c>
      <c r="H1421" s="7">
        <v>2</v>
      </c>
      <c r="I1421" s="7">
        <v>2</v>
      </c>
      <c r="J1421" s="7">
        <v>2</v>
      </c>
      <c r="K1421" s="7">
        <v>1</v>
      </c>
      <c r="L1421" s="7">
        <v>1</v>
      </c>
      <c r="M1421" s="7">
        <v>2</v>
      </c>
      <c r="N1421" s="7"/>
      <c r="O1421" s="7"/>
    </row>
    <row r="1422" spans="1:15" hidden="1">
      <c r="A1422" s="7" t="s">
        <v>232</v>
      </c>
      <c r="B1422" s="7" t="s">
        <v>188</v>
      </c>
      <c r="C1422" s="7" t="s">
        <v>139</v>
      </c>
      <c r="D1422" s="7" t="s">
        <v>139</v>
      </c>
      <c r="E1422" s="64">
        <v>0.01</v>
      </c>
      <c r="F1422" s="1021">
        <v>2</v>
      </c>
      <c r="G1422" s="7" t="s">
        <v>411</v>
      </c>
      <c r="H1422" s="7">
        <v>3</v>
      </c>
      <c r="I1422" s="7">
        <v>3</v>
      </c>
      <c r="J1422" s="7">
        <v>4</v>
      </c>
      <c r="K1422" s="7">
        <v>3</v>
      </c>
      <c r="L1422" s="7">
        <v>3</v>
      </c>
      <c r="M1422" s="7">
        <v>1</v>
      </c>
      <c r="N1422" s="7"/>
      <c r="O1422" s="7"/>
    </row>
    <row r="1423" spans="1:15" hidden="1">
      <c r="A1423" s="7" t="s">
        <v>232</v>
      </c>
      <c r="B1423" s="7" t="s">
        <v>188</v>
      </c>
      <c r="C1423" s="7" t="s">
        <v>139</v>
      </c>
      <c r="D1423" s="7" t="s">
        <v>139</v>
      </c>
      <c r="E1423" s="64">
        <v>0.05</v>
      </c>
      <c r="F1423" s="1021">
        <v>2</v>
      </c>
      <c r="G1423" s="7" t="s">
        <v>411</v>
      </c>
      <c r="H1423" s="7">
        <v>3</v>
      </c>
      <c r="I1423" s="7">
        <v>3</v>
      </c>
      <c r="J1423" s="7">
        <v>4</v>
      </c>
      <c r="K1423" s="7">
        <v>3</v>
      </c>
      <c r="L1423" s="7">
        <v>3</v>
      </c>
      <c r="M1423" s="7">
        <v>1</v>
      </c>
      <c r="N1423" s="7"/>
      <c r="O1423" s="7"/>
    </row>
    <row r="1424" spans="1:15" hidden="1">
      <c r="A1424" s="436" t="s">
        <v>232</v>
      </c>
      <c r="B1424" s="436" t="s">
        <v>258</v>
      </c>
      <c r="C1424" s="436" t="s">
        <v>180</v>
      </c>
      <c r="D1424" s="436" t="s">
        <v>139</v>
      </c>
      <c r="E1424" s="1030">
        <v>2E-3</v>
      </c>
      <c r="F1424" s="436">
        <v>2</v>
      </c>
      <c r="G1424" s="1" t="s">
        <v>2333</v>
      </c>
      <c r="H1424" s="436">
        <v>1</v>
      </c>
      <c r="I1424" s="436">
        <v>2</v>
      </c>
      <c r="J1424" s="436">
        <v>2</v>
      </c>
      <c r="K1424" s="436">
        <v>3</v>
      </c>
      <c r="L1424" s="436">
        <v>2</v>
      </c>
      <c r="M1424" s="436">
        <v>1</v>
      </c>
      <c r="N1424" s="7"/>
      <c r="O1424" s="7"/>
    </row>
    <row r="1425" spans="1:15" hidden="1">
      <c r="A1425" s="436" t="s">
        <v>232</v>
      </c>
      <c r="B1425" s="436" t="s">
        <v>258</v>
      </c>
      <c r="C1425" s="436" t="s">
        <v>182</v>
      </c>
      <c r="D1425" s="436" t="s">
        <v>139</v>
      </c>
      <c r="E1425" s="1030">
        <v>2E-3</v>
      </c>
      <c r="F1425" s="436">
        <v>2</v>
      </c>
      <c r="G1425" s="1" t="s">
        <v>2333</v>
      </c>
      <c r="H1425" s="436">
        <v>1</v>
      </c>
      <c r="I1425" s="436">
        <v>2</v>
      </c>
      <c r="J1425" s="436">
        <v>2</v>
      </c>
      <c r="K1425" s="436">
        <v>3</v>
      </c>
      <c r="L1425" s="436">
        <v>2</v>
      </c>
      <c r="M1425" s="436">
        <v>1</v>
      </c>
      <c r="N1425" s="7"/>
      <c r="O1425" s="7"/>
    </row>
    <row r="1426" spans="1:15" hidden="1">
      <c r="A1426" s="436" t="s">
        <v>232</v>
      </c>
      <c r="B1426" s="7" t="s">
        <v>215</v>
      </c>
      <c r="C1426" s="436" t="s">
        <v>139</v>
      </c>
      <c r="D1426" s="436" t="s">
        <v>139</v>
      </c>
      <c r="E1426" s="1030" t="s">
        <v>150</v>
      </c>
      <c r="F1426" s="436">
        <v>1</v>
      </c>
      <c r="G1426" s="436"/>
      <c r="H1426" s="436"/>
      <c r="I1426" s="436"/>
      <c r="J1426" s="436"/>
      <c r="K1426" s="436"/>
      <c r="L1426" s="436"/>
      <c r="M1426" s="436"/>
      <c r="N1426" s="7"/>
      <c r="O1426" s="7"/>
    </row>
    <row r="1427" spans="1:15" hidden="1">
      <c r="A1427" s="436" t="s">
        <v>362</v>
      </c>
      <c r="B1427" s="7" t="s">
        <v>363</v>
      </c>
      <c r="C1427" s="7" t="s">
        <v>139</v>
      </c>
      <c r="D1427" s="7" t="s">
        <v>139</v>
      </c>
      <c r="E1427" s="64">
        <v>0.03</v>
      </c>
      <c r="F1427" s="1021">
        <v>2</v>
      </c>
      <c r="G1427" s="7" t="s">
        <v>364</v>
      </c>
      <c r="H1427" s="7">
        <v>2</v>
      </c>
      <c r="I1427" s="7">
        <v>2</v>
      </c>
      <c r="J1427" s="7">
        <v>2</v>
      </c>
      <c r="K1427" s="7">
        <v>1</v>
      </c>
      <c r="L1427" s="7">
        <v>1</v>
      </c>
      <c r="M1427" s="7">
        <v>2</v>
      </c>
      <c r="N1427" s="7"/>
      <c r="O1427" s="7"/>
    </row>
    <row r="1428" spans="1:15" hidden="1">
      <c r="A1428" s="436" t="s">
        <v>362</v>
      </c>
      <c r="B1428" s="436" t="s">
        <v>265</v>
      </c>
      <c r="C1428" s="436" t="s">
        <v>180</v>
      </c>
      <c r="D1428" s="436" t="s">
        <v>139</v>
      </c>
      <c r="E1428" s="1030">
        <v>2E-3</v>
      </c>
      <c r="F1428" s="436">
        <v>2</v>
      </c>
      <c r="G1428" s="1" t="s">
        <v>2333</v>
      </c>
      <c r="H1428" s="436">
        <v>1</v>
      </c>
      <c r="I1428" s="436">
        <v>2</v>
      </c>
      <c r="J1428" s="436">
        <v>2</v>
      </c>
      <c r="K1428" s="436">
        <v>3</v>
      </c>
      <c r="L1428" s="436">
        <v>2</v>
      </c>
      <c r="M1428" s="436">
        <v>1</v>
      </c>
      <c r="N1428" s="7"/>
      <c r="O1428" s="7"/>
    </row>
    <row r="1429" spans="1:15" hidden="1">
      <c r="A1429" s="436" t="s">
        <v>362</v>
      </c>
      <c r="B1429" s="436" t="s">
        <v>265</v>
      </c>
      <c r="C1429" s="436" t="s">
        <v>182</v>
      </c>
      <c r="D1429" s="436" t="s">
        <v>139</v>
      </c>
      <c r="E1429" s="1030">
        <v>2E-3</v>
      </c>
      <c r="F1429" s="436">
        <v>2</v>
      </c>
      <c r="G1429" s="1" t="s">
        <v>2333</v>
      </c>
      <c r="H1429" s="436">
        <v>1</v>
      </c>
      <c r="I1429" s="436">
        <v>2</v>
      </c>
      <c r="J1429" s="436">
        <v>2</v>
      </c>
      <c r="K1429" s="436">
        <v>3</v>
      </c>
      <c r="L1429" s="436">
        <v>2</v>
      </c>
      <c r="M1429" s="436">
        <v>1</v>
      </c>
      <c r="N1429" s="7"/>
      <c r="O1429" s="7"/>
    </row>
    <row r="1430" spans="1:15" hidden="1">
      <c r="A1430" s="436" t="s">
        <v>362</v>
      </c>
      <c r="B1430" s="7" t="s">
        <v>209</v>
      </c>
      <c r="C1430" s="436" t="s">
        <v>139</v>
      </c>
      <c r="D1430" s="436" t="s">
        <v>139</v>
      </c>
      <c r="E1430" s="1030" t="s">
        <v>150</v>
      </c>
      <c r="F1430" s="436">
        <v>1</v>
      </c>
      <c r="G1430" s="436"/>
      <c r="H1430" s="436"/>
      <c r="I1430" s="436"/>
      <c r="J1430" s="436"/>
      <c r="K1430" s="436"/>
      <c r="L1430" s="436"/>
      <c r="M1430" s="436"/>
      <c r="N1430" s="7"/>
      <c r="O1430" s="7"/>
    </row>
    <row r="1431" spans="1:15" hidden="1">
      <c r="A1431" s="7" t="s">
        <v>215</v>
      </c>
      <c r="B1431" s="7" t="s">
        <v>216</v>
      </c>
      <c r="C1431" s="436" t="s">
        <v>180</v>
      </c>
      <c r="D1431" s="436" t="s">
        <v>139</v>
      </c>
      <c r="E1431" s="1031">
        <v>0.08</v>
      </c>
      <c r="F1431" s="436">
        <v>2</v>
      </c>
      <c r="G1431" s="436" t="s">
        <v>211</v>
      </c>
      <c r="H1431" s="436">
        <v>1</v>
      </c>
      <c r="I1431" s="436">
        <v>2</v>
      </c>
      <c r="J1431" s="436">
        <v>3</v>
      </c>
      <c r="K1431" s="436">
        <v>2</v>
      </c>
      <c r="L1431" s="436">
        <v>3</v>
      </c>
      <c r="M1431" s="436">
        <v>1</v>
      </c>
      <c r="N1431" s="7"/>
      <c r="O1431" s="7"/>
    </row>
    <row r="1432" spans="1:15" hidden="1">
      <c r="A1432" s="7" t="s">
        <v>215</v>
      </c>
      <c r="B1432" s="7" t="s">
        <v>216</v>
      </c>
      <c r="C1432" s="436" t="s">
        <v>180</v>
      </c>
      <c r="D1432" s="436" t="s">
        <v>139</v>
      </c>
      <c r="E1432" s="1031">
        <v>8.9999999999999993E-3</v>
      </c>
      <c r="F1432" s="436">
        <v>2</v>
      </c>
      <c r="G1432" s="1" t="s">
        <v>2333</v>
      </c>
      <c r="H1432" s="436">
        <v>1</v>
      </c>
      <c r="I1432" s="436">
        <v>2</v>
      </c>
      <c r="J1432" s="436">
        <v>2</v>
      </c>
      <c r="K1432" s="436">
        <v>3</v>
      </c>
      <c r="L1432" s="436">
        <v>2</v>
      </c>
      <c r="M1432" s="436">
        <v>1</v>
      </c>
      <c r="N1432" s="7"/>
      <c r="O1432" s="7"/>
    </row>
    <row r="1433" spans="1:15" hidden="1">
      <c r="A1433" s="7" t="s">
        <v>215</v>
      </c>
      <c r="B1433" s="7" t="s">
        <v>216</v>
      </c>
      <c r="C1433" s="436" t="s">
        <v>182</v>
      </c>
      <c r="D1433" s="436" t="s">
        <v>139</v>
      </c>
      <c r="E1433" s="1031">
        <v>3.2000000000000001E-2</v>
      </c>
      <c r="F1433" s="436">
        <v>2</v>
      </c>
      <c r="G1433" s="436" t="s">
        <v>213</v>
      </c>
      <c r="H1433" s="436">
        <v>2</v>
      </c>
      <c r="I1433" s="436">
        <v>2</v>
      </c>
      <c r="J1433" s="436">
        <v>3</v>
      </c>
      <c r="K1433" s="436">
        <v>3</v>
      </c>
      <c r="L1433" s="436">
        <v>3</v>
      </c>
      <c r="M1433" s="436">
        <v>3</v>
      </c>
      <c r="N1433" s="7"/>
      <c r="O1433" s="7"/>
    </row>
    <row r="1434" spans="1:15" hidden="1">
      <c r="A1434" s="7" t="s">
        <v>215</v>
      </c>
      <c r="B1434" s="7" t="s">
        <v>216</v>
      </c>
      <c r="C1434" s="436" t="s">
        <v>182</v>
      </c>
      <c r="D1434" s="436" t="s">
        <v>139</v>
      </c>
      <c r="E1434" s="1031">
        <v>2.9826370000000001E-2</v>
      </c>
      <c r="F1434" s="436">
        <v>2</v>
      </c>
      <c r="G1434" s="436" t="s">
        <v>214</v>
      </c>
      <c r="H1434" s="436">
        <v>2</v>
      </c>
      <c r="I1434" s="436">
        <v>2</v>
      </c>
      <c r="J1434" s="436">
        <v>4</v>
      </c>
      <c r="K1434" s="436">
        <v>3</v>
      </c>
      <c r="L1434" s="436">
        <v>3</v>
      </c>
      <c r="M1434" s="436">
        <v>1</v>
      </c>
      <c r="N1434" s="7"/>
      <c r="O1434" s="7"/>
    </row>
    <row r="1435" spans="1:15" hidden="1">
      <c r="A1435" s="7" t="s">
        <v>215</v>
      </c>
      <c r="B1435" s="7" t="s">
        <v>385</v>
      </c>
      <c r="C1435" s="436" t="s">
        <v>139</v>
      </c>
      <c r="D1435" s="436" t="s">
        <v>139</v>
      </c>
      <c r="E1435" s="1030" t="s">
        <v>150</v>
      </c>
      <c r="F1435" s="436">
        <v>1</v>
      </c>
      <c r="G1435" s="436"/>
      <c r="H1435" s="436"/>
      <c r="I1435" s="436"/>
      <c r="J1435" s="436"/>
      <c r="K1435" s="436"/>
      <c r="L1435" s="436"/>
      <c r="M1435" s="436"/>
      <c r="N1435" s="7"/>
      <c r="O1435" s="7"/>
    </row>
    <row r="1436" spans="1:15" hidden="1">
      <c r="A1436" s="7" t="s">
        <v>209</v>
      </c>
      <c r="B1436" s="7" t="s">
        <v>210</v>
      </c>
      <c r="C1436" s="436" t="s">
        <v>180</v>
      </c>
      <c r="D1436" s="436" t="s">
        <v>139</v>
      </c>
      <c r="E1436" s="1031">
        <v>0.08</v>
      </c>
      <c r="F1436" s="436">
        <v>2</v>
      </c>
      <c r="G1436" s="436" t="s">
        <v>211</v>
      </c>
      <c r="H1436" s="436">
        <v>1</v>
      </c>
      <c r="I1436" s="436">
        <v>2</v>
      </c>
      <c r="J1436" s="436">
        <v>3</v>
      </c>
      <c r="K1436" s="436">
        <v>2</v>
      </c>
      <c r="L1436" s="436">
        <v>3</v>
      </c>
      <c r="M1436" s="436">
        <v>1</v>
      </c>
      <c r="N1436" s="7"/>
      <c r="O1436" s="7"/>
    </row>
    <row r="1437" spans="1:15" hidden="1">
      <c r="A1437" s="7" t="s">
        <v>209</v>
      </c>
      <c r="B1437" s="7" t="s">
        <v>210</v>
      </c>
      <c r="C1437" s="436" t="s">
        <v>182</v>
      </c>
      <c r="D1437" s="436" t="s">
        <v>139</v>
      </c>
      <c r="E1437" s="1031">
        <v>3.2000000000000001E-2</v>
      </c>
      <c r="F1437" s="436">
        <v>2</v>
      </c>
      <c r="G1437" s="436" t="s">
        <v>213</v>
      </c>
      <c r="H1437" s="436">
        <v>2</v>
      </c>
      <c r="I1437" s="436">
        <v>2</v>
      </c>
      <c r="J1437" s="436">
        <v>3</v>
      </c>
      <c r="K1437" s="436">
        <v>3</v>
      </c>
      <c r="L1437" s="436">
        <v>3</v>
      </c>
      <c r="M1437" s="436">
        <v>3</v>
      </c>
      <c r="N1437" s="7"/>
      <c r="O1437" s="7"/>
    </row>
    <row r="1438" spans="1:15" hidden="1">
      <c r="A1438" s="7" t="s">
        <v>209</v>
      </c>
      <c r="B1438" s="7" t="s">
        <v>210</v>
      </c>
      <c r="C1438" s="436" t="s">
        <v>182</v>
      </c>
      <c r="D1438" s="436" t="s">
        <v>139</v>
      </c>
      <c r="E1438" s="1031">
        <v>2.9826370000000001E-2</v>
      </c>
      <c r="F1438" s="436">
        <v>2</v>
      </c>
      <c r="G1438" s="436" t="s">
        <v>214</v>
      </c>
      <c r="H1438" s="436">
        <v>2</v>
      </c>
      <c r="I1438" s="436">
        <v>2</v>
      </c>
      <c r="J1438" s="436">
        <v>4</v>
      </c>
      <c r="K1438" s="436">
        <v>3</v>
      </c>
      <c r="L1438" s="436">
        <v>3</v>
      </c>
      <c r="M1438" s="436">
        <v>1</v>
      </c>
      <c r="N1438" s="7"/>
      <c r="O1438" s="7"/>
    </row>
    <row r="1439" spans="1:15" hidden="1">
      <c r="A1439" s="7" t="s">
        <v>209</v>
      </c>
      <c r="B1439" s="7" t="s">
        <v>210</v>
      </c>
      <c r="C1439" s="436" t="s">
        <v>180</v>
      </c>
      <c r="D1439" s="436" t="s">
        <v>139</v>
      </c>
      <c r="E1439" s="1031">
        <v>8.9999999999999993E-3</v>
      </c>
      <c r="F1439" s="436">
        <v>2</v>
      </c>
      <c r="G1439" s="1" t="s">
        <v>2333</v>
      </c>
      <c r="H1439" s="436">
        <v>1</v>
      </c>
      <c r="I1439" s="436">
        <v>2</v>
      </c>
      <c r="J1439" s="436">
        <v>2</v>
      </c>
      <c r="K1439" s="436">
        <v>3</v>
      </c>
      <c r="L1439" s="436">
        <v>2</v>
      </c>
      <c r="M1439" s="436">
        <v>1</v>
      </c>
      <c r="N1439" s="7"/>
      <c r="O1439" s="7"/>
    </row>
    <row r="1440" spans="1:15" hidden="1">
      <c r="A1440" s="7" t="s">
        <v>209</v>
      </c>
      <c r="B1440" s="7" t="s">
        <v>384</v>
      </c>
      <c r="C1440" s="436" t="s">
        <v>139</v>
      </c>
      <c r="D1440" s="436" t="s">
        <v>139</v>
      </c>
      <c r="E1440" s="1030" t="s">
        <v>150</v>
      </c>
      <c r="F1440" s="436">
        <v>1</v>
      </c>
      <c r="G1440" s="436"/>
      <c r="H1440" s="436"/>
      <c r="I1440" s="436"/>
      <c r="J1440" s="436"/>
      <c r="K1440" s="436"/>
      <c r="L1440" s="436"/>
      <c r="M1440" s="436"/>
      <c r="N1440" s="7"/>
      <c r="O1440" s="7"/>
    </row>
    <row r="1441" spans="1:15" hidden="1">
      <c r="A1441" s="436" t="s">
        <v>385</v>
      </c>
      <c r="B1441" s="436" t="s">
        <v>401</v>
      </c>
      <c r="C1441" s="436" t="s">
        <v>139</v>
      </c>
      <c r="D1441" s="436" t="s">
        <v>139</v>
      </c>
      <c r="E1441" s="1031" t="s">
        <v>150</v>
      </c>
      <c r="F1441" s="436">
        <v>1</v>
      </c>
      <c r="G1441" s="436"/>
      <c r="H1441" s="436"/>
      <c r="I1441" s="436"/>
      <c r="J1441" s="436"/>
      <c r="K1441" s="436"/>
      <c r="L1441" s="436"/>
      <c r="M1441" s="436"/>
      <c r="N1441" s="7"/>
      <c r="O1441" s="7"/>
    </row>
    <row r="1442" spans="1:15" hidden="1">
      <c r="A1442" s="436" t="s">
        <v>385</v>
      </c>
      <c r="B1442" s="436" t="s">
        <v>286</v>
      </c>
      <c r="C1442" s="436" t="s">
        <v>182</v>
      </c>
      <c r="D1442" s="436" t="s">
        <v>139</v>
      </c>
      <c r="E1442" s="1031">
        <v>0.72</v>
      </c>
      <c r="F1442" s="436">
        <v>2</v>
      </c>
      <c r="G1442" s="436" t="s">
        <v>2316</v>
      </c>
      <c r="H1442" s="436">
        <v>3</v>
      </c>
      <c r="I1442" s="436">
        <v>3</v>
      </c>
      <c r="J1442" s="436">
        <v>2</v>
      </c>
      <c r="K1442" s="436">
        <v>3</v>
      </c>
      <c r="L1442" s="436">
        <v>2</v>
      </c>
      <c r="M1442" s="436">
        <v>1</v>
      </c>
      <c r="N1442" s="7"/>
      <c r="O1442" s="7"/>
    </row>
    <row r="1443" spans="1:15" hidden="1">
      <c r="A1443" s="436" t="s">
        <v>385</v>
      </c>
      <c r="B1443" s="436" t="s">
        <v>286</v>
      </c>
      <c r="C1443" s="436" t="s">
        <v>180</v>
      </c>
      <c r="D1443" s="436" t="s">
        <v>139</v>
      </c>
      <c r="E1443" s="1031">
        <v>0.76442553191489371</v>
      </c>
      <c r="F1443" s="436">
        <v>2</v>
      </c>
      <c r="G1443" s="436" t="s">
        <v>2310</v>
      </c>
      <c r="H1443" s="436">
        <v>1</v>
      </c>
      <c r="I1443" s="436">
        <v>2</v>
      </c>
      <c r="J1443" s="436">
        <v>3</v>
      </c>
      <c r="K1443" s="436">
        <v>3</v>
      </c>
      <c r="L1443" s="436">
        <v>2</v>
      </c>
      <c r="M1443" s="436">
        <v>1</v>
      </c>
      <c r="N1443" s="7"/>
      <c r="O1443" s="7"/>
    </row>
    <row r="1444" spans="1:15" hidden="1">
      <c r="A1444" s="436" t="s">
        <v>401</v>
      </c>
      <c r="B1444" s="436" t="s">
        <v>288</v>
      </c>
      <c r="C1444" s="436" t="s">
        <v>139</v>
      </c>
      <c r="D1444" s="436" t="s">
        <v>139</v>
      </c>
      <c r="E1444" s="1031" t="s">
        <v>150</v>
      </c>
      <c r="F1444" s="436">
        <v>1</v>
      </c>
      <c r="G1444" s="436"/>
      <c r="H1444" s="436"/>
      <c r="I1444" s="436"/>
      <c r="J1444" s="436"/>
      <c r="K1444" s="436"/>
      <c r="L1444" s="436"/>
      <c r="M1444" s="436"/>
      <c r="N1444" s="7"/>
      <c r="O1444" s="7"/>
    </row>
    <row r="1445" spans="1:15" hidden="1">
      <c r="A1445" s="436" t="s">
        <v>401</v>
      </c>
      <c r="B1445" s="436" t="s">
        <v>286</v>
      </c>
      <c r="C1445" s="436" t="s">
        <v>182</v>
      </c>
      <c r="D1445" s="436" t="s">
        <v>139</v>
      </c>
      <c r="E1445" s="1031">
        <v>0.57142857142857151</v>
      </c>
      <c r="F1445" s="436">
        <v>2</v>
      </c>
      <c r="G1445" s="436" t="s">
        <v>2316</v>
      </c>
      <c r="H1445" s="436">
        <v>3</v>
      </c>
      <c r="I1445" s="436">
        <v>3</v>
      </c>
      <c r="J1445" s="436">
        <v>2</v>
      </c>
      <c r="K1445" s="436">
        <v>3</v>
      </c>
      <c r="L1445" s="436">
        <v>2</v>
      </c>
      <c r="M1445" s="436">
        <v>1</v>
      </c>
      <c r="N1445" s="7"/>
      <c r="O1445" s="7"/>
    </row>
    <row r="1446" spans="1:15" hidden="1">
      <c r="A1446" s="436" t="s">
        <v>401</v>
      </c>
      <c r="B1446" s="436" t="s">
        <v>286</v>
      </c>
      <c r="C1446" s="436" t="s">
        <v>180</v>
      </c>
      <c r="D1446" s="436" t="s">
        <v>139</v>
      </c>
      <c r="E1446" s="1031">
        <v>0.60668693009118557</v>
      </c>
      <c r="F1446" s="436">
        <v>2</v>
      </c>
      <c r="G1446" s="436" t="s">
        <v>2310</v>
      </c>
      <c r="H1446" s="436">
        <v>1</v>
      </c>
      <c r="I1446" s="436">
        <v>2</v>
      </c>
      <c r="J1446" s="436">
        <v>3</v>
      </c>
      <c r="K1446" s="436">
        <v>3</v>
      </c>
      <c r="L1446" s="436">
        <v>2</v>
      </c>
      <c r="M1446" s="436">
        <v>1</v>
      </c>
      <c r="N1446" s="7"/>
      <c r="O1446" s="7"/>
    </row>
    <row r="1447" spans="1:15" hidden="1">
      <c r="A1447" s="436" t="s">
        <v>401</v>
      </c>
      <c r="B1447" s="436" t="s">
        <v>258</v>
      </c>
      <c r="C1447" s="436" t="s">
        <v>182</v>
      </c>
      <c r="D1447" s="436" t="s">
        <v>139</v>
      </c>
      <c r="E1447" s="1031">
        <v>1.3799999999999998E-2</v>
      </c>
      <c r="F1447" s="436">
        <v>2</v>
      </c>
      <c r="G1447" s="436" t="s">
        <v>2334</v>
      </c>
      <c r="H1447" s="436">
        <v>2</v>
      </c>
      <c r="I1447" s="436">
        <v>2</v>
      </c>
      <c r="J1447" s="436">
        <v>1</v>
      </c>
      <c r="K1447" s="436">
        <v>1</v>
      </c>
      <c r="L1447" s="436">
        <v>1</v>
      </c>
      <c r="M1447" s="436">
        <v>2</v>
      </c>
      <c r="N1447" s="7"/>
      <c r="O1447" s="7"/>
    </row>
    <row r="1448" spans="1:15" hidden="1">
      <c r="A1448" s="436" t="s">
        <v>401</v>
      </c>
      <c r="B1448" s="436" t="s">
        <v>258</v>
      </c>
      <c r="C1448" s="436" t="s">
        <v>180</v>
      </c>
      <c r="D1448" s="436" t="s">
        <v>139</v>
      </c>
      <c r="E1448" s="1031">
        <v>1.2664680851063825E-2</v>
      </c>
      <c r="F1448" s="436">
        <v>2</v>
      </c>
      <c r="G1448" s="436" t="s">
        <v>2334</v>
      </c>
      <c r="H1448" s="436">
        <v>2</v>
      </c>
      <c r="I1448" s="436">
        <v>2</v>
      </c>
      <c r="J1448" s="436">
        <v>1</v>
      </c>
      <c r="K1448" s="436">
        <v>1</v>
      </c>
      <c r="L1448" s="436">
        <v>1</v>
      </c>
      <c r="M1448" s="436">
        <v>2</v>
      </c>
      <c r="N1448" s="7"/>
      <c r="O1448" s="7"/>
    </row>
    <row r="1449" spans="1:15" hidden="1">
      <c r="A1449" s="436" t="s">
        <v>288</v>
      </c>
      <c r="B1449" s="436" t="s">
        <v>258</v>
      </c>
      <c r="C1449" s="436" t="s">
        <v>139</v>
      </c>
      <c r="D1449" s="436" t="s">
        <v>139</v>
      </c>
      <c r="E1449" s="1031" t="s">
        <v>150</v>
      </c>
      <c r="F1449" s="436">
        <v>1</v>
      </c>
      <c r="G1449" s="436"/>
      <c r="H1449" s="436"/>
      <c r="I1449" s="436"/>
      <c r="J1449" s="436"/>
      <c r="K1449" s="436"/>
      <c r="L1449" s="436"/>
      <c r="M1449" s="436"/>
      <c r="N1449" s="7"/>
      <c r="O1449" s="7"/>
    </row>
    <row r="1450" spans="1:15" hidden="1">
      <c r="A1450" s="436" t="s">
        <v>288</v>
      </c>
      <c r="B1450" s="436" t="s">
        <v>286</v>
      </c>
      <c r="C1450" s="436" t="s">
        <v>182</v>
      </c>
      <c r="D1450" s="436" t="s">
        <v>139</v>
      </c>
      <c r="E1450" s="1031">
        <v>0.1399999999999999</v>
      </c>
      <c r="F1450" s="436">
        <v>2</v>
      </c>
      <c r="G1450" s="436" t="s">
        <v>2316</v>
      </c>
      <c r="H1450" s="436">
        <v>3</v>
      </c>
      <c r="I1450" s="436">
        <v>3</v>
      </c>
      <c r="J1450" s="436">
        <v>2</v>
      </c>
      <c r="K1450" s="436">
        <v>3</v>
      </c>
      <c r="L1450" s="436">
        <v>2</v>
      </c>
      <c r="M1450" s="436">
        <v>1</v>
      </c>
      <c r="N1450" s="7"/>
      <c r="O1450" s="7"/>
    </row>
    <row r="1451" spans="1:15" hidden="1">
      <c r="A1451" s="436" t="s">
        <v>288</v>
      </c>
      <c r="B1451" s="436" t="s">
        <v>286</v>
      </c>
      <c r="C1451" s="436" t="s">
        <v>180</v>
      </c>
      <c r="D1451" s="436" t="s">
        <v>139</v>
      </c>
      <c r="E1451" s="1031">
        <v>0.14863829787234034</v>
      </c>
      <c r="F1451" s="436">
        <v>2</v>
      </c>
      <c r="G1451" s="436" t="s">
        <v>2310</v>
      </c>
      <c r="H1451" s="436">
        <v>1</v>
      </c>
      <c r="I1451" s="436">
        <v>2</v>
      </c>
      <c r="J1451" s="436">
        <v>3</v>
      </c>
      <c r="K1451" s="436">
        <v>3</v>
      </c>
      <c r="L1451" s="436">
        <v>2</v>
      </c>
      <c r="M1451" s="436">
        <v>1</v>
      </c>
      <c r="N1451" s="7"/>
      <c r="O1451" s="7"/>
    </row>
    <row r="1452" spans="1:15" hidden="1">
      <c r="A1452" s="436" t="s">
        <v>384</v>
      </c>
      <c r="B1452" s="436" t="s">
        <v>399</v>
      </c>
      <c r="C1452" s="436" t="s">
        <v>139</v>
      </c>
      <c r="D1452" s="436" t="s">
        <v>139</v>
      </c>
      <c r="E1452" s="1031" t="s">
        <v>150</v>
      </c>
      <c r="F1452" s="436">
        <v>1</v>
      </c>
      <c r="G1452" s="436"/>
      <c r="H1452" s="436"/>
      <c r="I1452" s="436"/>
      <c r="J1452" s="436"/>
      <c r="K1452" s="436"/>
      <c r="L1452" s="436"/>
      <c r="M1452" s="436"/>
      <c r="N1452" s="7"/>
      <c r="O1452" s="7"/>
    </row>
    <row r="1453" spans="1:15" hidden="1">
      <c r="A1453" s="436" t="s">
        <v>384</v>
      </c>
      <c r="B1453" s="436" t="s">
        <v>284</v>
      </c>
      <c r="C1453" s="436" t="s">
        <v>182</v>
      </c>
      <c r="D1453" s="436" t="s">
        <v>139</v>
      </c>
      <c r="E1453" s="1031">
        <v>0.72</v>
      </c>
      <c r="F1453" s="436">
        <v>2</v>
      </c>
      <c r="G1453" s="436" t="s">
        <v>2316</v>
      </c>
      <c r="H1453" s="436">
        <v>3</v>
      </c>
      <c r="I1453" s="436">
        <v>3</v>
      </c>
      <c r="J1453" s="436">
        <v>2</v>
      </c>
      <c r="K1453" s="436">
        <v>3</v>
      </c>
      <c r="L1453" s="436">
        <v>2</v>
      </c>
      <c r="M1453" s="436">
        <v>1</v>
      </c>
      <c r="N1453" s="7"/>
      <c r="O1453" s="7"/>
    </row>
    <row r="1454" spans="1:15" hidden="1">
      <c r="A1454" s="436" t="s">
        <v>384</v>
      </c>
      <c r="B1454" s="436" t="s">
        <v>284</v>
      </c>
      <c r="C1454" s="436" t="s">
        <v>180</v>
      </c>
      <c r="D1454" s="436" t="s">
        <v>139</v>
      </c>
      <c r="E1454" s="1031">
        <v>0.76442553191489371</v>
      </c>
      <c r="F1454" s="436">
        <v>2</v>
      </c>
      <c r="G1454" s="436" t="s">
        <v>2310</v>
      </c>
      <c r="H1454" s="436">
        <v>1</v>
      </c>
      <c r="I1454" s="436">
        <v>2</v>
      </c>
      <c r="J1454" s="436">
        <v>3</v>
      </c>
      <c r="K1454" s="436">
        <v>3</v>
      </c>
      <c r="L1454" s="436">
        <v>2</v>
      </c>
      <c r="M1454" s="436">
        <v>1</v>
      </c>
      <c r="N1454" s="7"/>
      <c r="O1454" s="7"/>
    </row>
    <row r="1455" spans="1:15" hidden="1">
      <c r="A1455" s="436" t="s">
        <v>399</v>
      </c>
      <c r="B1455" s="436" t="s">
        <v>287</v>
      </c>
      <c r="C1455" s="436" t="s">
        <v>139</v>
      </c>
      <c r="D1455" s="436" t="s">
        <v>139</v>
      </c>
      <c r="E1455" s="1031" t="s">
        <v>150</v>
      </c>
      <c r="F1455" s="436">
        <v>1</v>
      </c>
      <c r="G1455" s="436"/>
      <c r="H1455" s="436"/>
      <c r="I1455" s="436"/>
      <c r="J1455" s="436"/>
      <c r="K1455" s="436"/>
      <c r="L1455" s="436"/>
      <c r="M1455" s="436"/>
      <c r="N1455" s="7"/>
      <c r="O1455" s="7"/>
    </row>
    <row r="1456" spans="1:15" hidden="1">
      <c r="A1456" s="436" t="s">
        <v>399</v>
      </c>
      <c r="B1456" s="436" t="s">
        <v>284</v>
      </c>
      <c r="C1456" s="436" t="s">
        <v>182</v>
      </c>
      <c r="D1456" s="436" t="s">
        <v>139</v>
      </c>
      <c r="E1456" s="1031">
        <v>0.57142857142857151</v>
      </c>
      <c r="F1456" s="436">
        <v>2</v>
      </c>
      <c r="G1456" s="436" t="s">
        <v>2316</v>
      </c>
      <c r="H1456" s="436">
        <v>3</v>
      </c>
      <c r="I1456" s="436">
        <v>3</v>
      </c>
      <c r="J1456" s="436">
        <v>2</v>
      </c>
      <c r="K1456" s="436">
        <v>3</v>
      </c>
      <c r="L1456" s="436">
        <v>2</v>
      </c>
      <c r="M1456" s="436">
        <v>1</v>
      </c>
      <c r="N1456" s="7"/>
      <c r="O1456" s="7"/>
    </row>
    <row r="1457" spans="1:15" hidden="1">
      <c r="A1457" s="436" t="s">
        <v>399</v>
      </c>
      <c r="B1457" s="436" t="s">
        <v>284</v>
      </c>
      <c r="C1457" s="436" t="s">
        <v>180</v>
      </c>
      <c r="D1457" s="436" t="s">
        <v>139</v>
      </c>
      <c r="E1457" s="1031">
        <v>0.60668693009118557</v>
      </c>
      <c r="F1457" s="436">
        <v>2</v>
      </c>
      <c r="G1457" s="436" t="s">
        <v>2310</v>
      </c>
      <c r="H1457" s="436">
        <v>1</v>
      </c>
      <c r="I1457" s="436">
        <v>2</v>
      </c>
      <c r="J1457" s="436">
        <v>3</v>
      </c>
      <c r="K1457" s="436">
        <v>3</v>
      </c>
      <c r="L1457" s="436">
        <v>2</v>
      </c>
      <c r="M1457" s="436">
        <v>1</v>
      </c>
      <c r="N1457" s="7"/>
      <c r="O1457" s="7"/>
    </row>
    <row r="1458" spans="1:15" hidden="1">
      <c r="A1458" s="436" t="s">
        <v>399</v>
      </c>
      <c r="B1458" s="436" t="s">
        <v>265</v>
      </c>
      <c r="C1458" s="436" t="s">
        <v>182</v>
      </c>
      <c r="D1458" s="436" t="s">
        <v>139</v>
      </c>
      <c r="E1458" s="1031">
        <v>1.3799999999999998E-2</v>
      </c>
      <c r="F1458" s="436">
        <v>2</v>
      </c>
      <c r="G1458" s="436" t="s">
        <v>2334</v>
      </c>
      <c r="H1458" s="436">
        <v>2</v>
      </c>
      <c r="I1458" s="436">
        <v>2</v>
      </c>
      <c r="J1458" s="436">
        <v>1</v>
      </c>
      <c r="K1458" s="436">
        <v>1</v>
      </c>
      <c r="L1458" s="436">
        <v>1</v>
      </c>
      <c r="M1458" s="436">
        <v>2</v>
      </c>
      <c r="N1458" s="7"/>
      <c r="O1458" s="7"/>
    </row>
    <row r="1459" spans="1:15" hidden="1">
      <c r="A1459" s="436" t="s">
        <v>399</v>
      </c>
      <c r="B1459" s="436" t="s">
        <v>265</v>
      </c>
      <c r="C1459" s="436" t="s">
        <v>180</v>
      </c>
      <c r="D1459" s="436" t="s">
        <v>139</v>
      </c>
      <c r="E1459" s="1031">
        <v>1.2664680851063825E-2</v>
      </c>
      <c r="F1459" s="436">
        <v>2</v>
      </c>
      <c r="G1459" s="436" t="s">
        <v>2334</v>
      </c>
      <c r="H1459" s="436">
        <v>2</v>
      </c>
      <c r="I1459" s="436">
        <v>2</v>
      </c>
      <c r="J1459" s="436">
        <v>1</v>
      </c>
      <c r="K1459" s="436">
        <v>1</v>
      </c>
      <c r="L1459" s="436">
        <v>1</v>
      </c>
      <c r="M1459" s="436">
        <v>2</v>
      </c>
      <c r="N1459" s="7"/>
      <c r="O1459" s="7"/>
    </row>
    <row r="1460" spans="1:15" hidden="1">
      <c r="A1460" s="436" t="s">
        <v>287</v>
      </c>
      <c r="B1460" s="436" t="s">
        <v>265</v>
      </c>
      <c r="C1460" s="436" t="s">
        <v>139</v>
      </c>
      <c r="D1460" s="436" t="s">
        <v>139</v>
      </c>
      <c r="E1460" s="1031" t="s">
        <v>150</v>
      </c>
      <c r="F1460" s="436">
        <v>1</v>
      </c>
      <c r="G1460" s="436"/>
      <c r="H1460" s="436"/>
      <c r="I1460" s="436"/>
      <c r="J1460" s="436"/>
      <c r="K1460" s="436"/>
      <c r="L1460" s="436"/>
      <c r="M1460" s="436"/>
      <c r="N1460" s="7"/>
      <c r="O1460" s="7"/>
    </row>
    <row r="1461" spans="1:15" hidden="1">
      <c r="A1461" s="436" t="s">
        <v>287</v>
      </c>
      <c r="B1461" s="436" t="s">
        <v>284</v>
      </c>
      <c r="C1461" s="436" t="s">
        <v>182</v>
      </c>
      <c r="D1461" s="436" t="s">
        <v>139</v>
      </c>
      <c r="E1461" s="1031">
        <v>0.1399999999999999</v>
      </c>
      <c r="F1461" s="436">
        <v>2</v>
      </c>
      <c r="G1461" s="436" t="s">
        <v>2316</v>
      </c>
      <c r="H1461" s="436">
        <v>3</v>
      </c>
      <c r="I1461" s="436">
        <v>3</v>
      </c>
      <c r="J1461" s="436">
        <v>2</v>
      </c>
      <c r="K1461" s="436">
        <v>3</v>
      </c>
      <c r="L1461" s="436">
        <v>2</v>
      </c>
      <c r="M1461" s="436">
        <v>1</v>
      </c>
      <c r="N1461" s="7"/>
      <c r="O1461" s="7"/>
    </row>
    <row r="1462" spans="1:15" hidden="1">
      <c r="A1462" s="436" t="s">
        <v>287</v>
      </c>
      <c r="B1462" s="436" t="s">
        <v>284</v>
      </c>
      <c r="C1462" s="436" t="s">
        <v>180</v>
      </c>
      <c r="D1462" s="436" t="s">
        <v>139</v>
      </c>
      <c r="E1462" s="1031">
        <v>0.14863829787234034</v>
      </c>
      <c r="F1462" s="436">
        <v>2</v>
      </c>
      <c r="G1462" s="436" t="s">
        <v>2310</v>
      </c>
      <c r="H1462" s="436">
        <v>1</v>
      </c>
      <c r="I1462" s="436">
        <v>2</v>
      </c>
      <c r="J1462" s="436">
        <v>3</v>
      </c>
      <c r="K1462" s="436">
        <v>3</v>
      </c>
      <c r="L1462" s="436">
        <v>2</v>
      </c>
      <c r="M1462" s="436">
        <v>1</v>
      </c>
      <c r="N1462" s="7"/>
      <c r="O1462" s="7"/>
    </row>
    <row r="1463" spans="1:15">
      <c r="N1463" s="7"/>
      <c r="O1463" s="7"/>
    </row>
    <row r="1464" spans="1:15">
      <c r="N1464" s="7"/>
      <c r="O1464" s="7"/>
    </row>
    <row r="1465" spans="1:15">
      <c r="N1465" s="7"/>
      <c r="O1465" s="7"/>
    </row>
    <row r="1466" spans="1:15">
      <c r="N1466" s="7"/>
      <c r="O1466" s="7"/>
    </row>
    <row r="1467" spans="1:15">
      <c r="N1467" s="7"/>
      <c r="O1467" s="7"/>
    </row>
    <row r="1468" spans="1:15">
      <c r="N1468" s="7"/>
      <c r="O1468" s="7"/>
    </row>
    <row r="1469" spans="1:15">
      <c r="N1469" s="7"/>
      <c r="O1469" s="7"/>
    </row>
    <row r="1470" spans="1:15">
      <c r="N1470" s="7"/>
      <c r="O1470" s="7"/>
    </row>
    <row r="1471" spans="1:15">
      <c r="N1471" s="7"/>
      <c r="O1471" s="7"/>
    </row>
    <row r="1472" spans="1: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sheetData>
  <autoFilter ref="A1:P1462" xr:uid="{D17F49C5-045C-4C41-8133-90E2E1555C53}">
    <filterColumn colId="1">
      <filters>
        <filter val="Clothing rarely washed (discarded)"/>
        <filter val="Clothing rarely washed (in use)"/>
      </filters>
    </filterColumn>
    <sortState xmlns:xlrd2="http://schemas.microsoft.com/office/spreadsheetml/2017/richdata2" ref="A1441:P1443">
      <sortCondition ref="A1:A1462"/>
    </sortState>
  </autoFilter>
  <sortState xmlns:xlrd2="http://schemas.microsoft.com/office/spreadsheetml/2017/richdata2" ref="A2:P2860">
    <sortCondition ref="A1:A2860"/>
  </sortState>
  <phoneticPr fontId="22" type="noConversion"/>
  <conditionalFormatting sqref="H277:H278">
    <cfRule type="dataBar" priority="302">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320">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59:H864">
    <cfRule type="dataBar" priority="258">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57">
    <cfRule type="cellIs" dxfId="204" priority="8080" stopIfTrue="1" operator="notBetween">
      <formula>1</formula>
      <formula>4</formula>
    </cfRule>
  </conditionalFormatting>
  <conditionalFormatting sqref="H282:M282 H276:M276 H279:M279">
    <cfRule type="dataBar" priority="338">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283:M857 H2:M275">
    <cfRule type="dataBar" priority="885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858:M858">
    <cfRule type="dataBar" priority="273">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58:M864">
    <cfRule type="cellIs" dxfId="203" priority="254" stopIfTrue="1" operator="notBetween">
      <formula>1</formula>
      <formula>4</formula>
    </cfRule>
  </conditionalFormatting>
  <conditionalFormatting sqref="H865:M865">
    <cfRule type="dataBar" priority="240">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865:M866">
    <cfRule type="dataBar" priority="223">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865:M867">
    <cfRule type="cellIs" dxfId="202" priority="224" stopIfTrue="1" operator="notBetween">
      <formula>1</formula>
      <formula>4</formula>
    </cfRule>
  </conditionalFormatting>
  <conditionalFormatting sqref="H865:M876 N878:O1420">
    <cfRule type="containsBlanks" dxfId="201" priority="217">
      <formula>LEN(TRIM(H865))=0</formula>
    </cfRule>
  </conditionalFormatting>
  <conditionalFormatting sqref="H866:M866">
    <cfRule type="dataBar" priority="242">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867:M867">
    <cfRule type="dataBar" priority="235">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868:M868">
    <cfRule type="dataBar" priority="250">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868:M872">
    <cfRule type="cellIs" dxfId="200" priority="248" stopIfTrue="1" operator="notBetween">
      <formula>1</formula>
      <formula>4</formula>
    </cfRule>
  </conditionalFormatting>
  <conditionalFormatting sqref="H869:M872">
    <cfRule type="dataBar" priority="245">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873:M874">
    <cfRule type="cellIs" dxfId="199" priority="220" stopIfTrue="1" operator="notBetween">
      <formula>1</formula>
      <formula>4</formula>
    </cfRule>
    <cfRule type="dataBar" priority="218">
      <dataBar>
        <cfvo type="min"/>
        <cfvo type="num" val="4"/>
        <color rgb="FFFFC000"/>
      </dataBar>
      <extLst>
        <ext xmlns:x14="http://schemas.microsoft.com/office/spreadsheetml/2009/9/main" uri="{B025F937-C7B1-47D3-B67F-A62EFF666E3E}">
          <x14:id>{4FF3944F-F6EB-469A-B3BF-89C2ACEF9A5A}</x14:id>
        </ext>
      </extLst>
    </cfRule>
  </conditionalFormatting>
  <conditionalFormatting sqref="H875:M876">
    <cfRule type="dataBar" priority="226">
      <dataBar>
        <cfvo type="min"/>
        <cfvo type="num" val="4"/>
        <color rgb="FFFFC000"/>
      </dataBar>
      <extLst>
        <ext xmlns:x14="http://schemas.microsoft.com/office/spreadsheetml/2009/9/main" uri="{B025F937-C7B1-47D3-B67F-A62EFF666E3E}">
          <x14:id>{C636A330-3589-4118-9161-5E09435D3530}</x14:id>
        </ext>
      </extLst>
    </cfRule>
    <cfRule type="cellIs" dxfId="198" priority="228" stopIfTrue="1" operator="notBetween">
      <formula>1</formula>
      <formula>4</formula>
    </cfRule>
  </conditionalFormatting>
  <conditionalFormatting sqref="H877:M890">
    <cfRule type="dataBar" priority="212">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877:M1131">
    <cfRule type="cellIs" dxfId="197" priority="159" stopIfTrue="1" operator="notBetween">
      <formula>1</formula>
      <formula>4</formula>
    </cfRule>
  </conditionalFormatting>
  <conditionalFormatting sqref="H878:M878">
    <cfRule type="dataBar" priority="156">
      <dataBar>
        <cfvo type="min"/>
        <cfvo type="num" val="4"/>
        <color rgb="FFFFC000"/>
      </dataBar>
      <extLst>
        <ext xmlns:x14="http://schemas.microsoft.com/office/spreadsheetml/2009/9/main" uri="{B025F937-C7B1-47D3-B67F-A62EFF666E3E}">
          <x14:id>{4A516C74-FCED-47AC-AAE2-98D1F54DE959}</x14:id>
        </ext>
      </extLst>
    </cfRule>
    <cfRule type="containsBlanks" dxfId="196" priority="155" stopIfTrue="1">
      <formula>LEN(TRIM(H878))=0</formula>
    </cfRule>
  </conditionalFormatting>
  <conditionalFormatting sqref="H908:M908">
    <cfRule type="dataBar" priority="208">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09:M914 H1129:M1131 H891:M907 H917:M934 H936:M953 H955:M972 H974:M991 H993:M1010 H1012:M1029 H1031:M1048 H1050:M1067 H1069:M1089 H1091:M1108 H1110:M1127">
    <cfRule type="dataBar" priority="216">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15:M916">
    <cfRule type="dataBar" priority="204">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35:M935">
    <cfRule type="dataBar" priority="200">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54:M954">
    <cfRule type="dataBar" priority="196">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973:M973">
    <cfRule type="dataBar" priority="192">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992:M992">
    <cfRule type="dataBar" priority="188">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11:M1011">
    <cfRule type="dataBar" priority="184">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30:M1030">
    <cfRule type="dataBar" priority="180">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49:M1049">
    <cfRule type="dataBar" priority="176">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068:M1068">
    <cfRule type="dataBar" priority="172">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090:M1090">
    <cfRule type="dataBar" priority="168">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09:M1109">
    <cfRule type="dataBar" priority="164">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28:M1128">
    <cfRule type="dataBar" priority="160">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42:M1142">
    <cfRule type="dataBar" priority="153">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42:M1258 H1260:M1262">
    <cfRule type="containsBlanks" dxfId="195" priority="89" stopIfTrue="1">
      <formula>LEN(TRIM(H1142))=0</formula>
    </cfRule>
    <cfRule type="cellIs" dxfId="194" priority="90" stopIfTrue="1" operator="notBetween">
      <formula>1</formula>
      <formula>4</formula>
    </cfRule>
  </conditionalFormatting>
  <conditionalFormatting sqref="H1143:M1200">
    <cfRule type="dataBar" priority="143">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01:M1258">
    <cfRule type="dataBar" priority="124">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1266:M1297 H1260:M1262">
    <cfRule type="dataBar" priority="8566">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66:M1420">
    <cfRule type="cellIs" dxfId="193" priority="80" stopIfTrue="1" operator="notBetween">
      <formula>1</formula>
      <formula>4</formula>
    </cfRule>
    <cfRule type="containsBlanks" dxfId="192" priority="77" stopIfTrue="1">
      <formula>LEN(TRIM(H1266))=0</formula>
    </cfRule>
  </conditionalFormatting>
  <conditionalFormatting sqref="H1298:M1301">
    <cfRule type="dataBar" priority="8278">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1302:M1302">
    <cfRule type="dataBar" priority="104">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H1303:M1313">
    <cfRule type="dataBar" priority="110">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314:M1324">
    <cfRule type="dataBar" priority="100">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325:M1328">
    <cfRule type="dataBar" priority="101">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329:M1329">
    <cfRule type="dataBar" priority="94">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330:M1339">
    <cfRule type="dataBar" priority="97">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340:M1344">
    <cfRule type="dataBar" priority="91">
      <dataBar>
        <cfvo type="min"/>
        <cfvo type="num" val="4"/>
        <color rgb="FFFFC000"/>
      </dataBar>
      <extLst>
        <ext xmlns:x14="http://schemas.microsoft.com/office/spreadsheetml/2009/9/main" uri="{B025F937-C7B1-47D3-B67F-A62EFF666E3E}">
          <x14:id>{FE468DE5-93BE-473E-A7A2-7E2187B30927}</x14:id>
        </ext>
      </extLst>
    </cfRule>
  </conditionalFormatting>
  <conditionalFormatting sqref="H1345:M1348">
    <cfRule type="dataBar" priority="88">
      <dataBar>
        <cfvo type="min"/>
        <cfvo type="num" val="4"/>
        <color rgb="FFFFC000"/>
      </dataBar>
      <extLst>
        <ext xmlns:x14="http://schemas.microsoft.com/office/spreadsheetml/2009/9/main" uri="{B025F937-C7B1-47D3-B67F-A62EFF666E3E}">
          <x14:id>{587E42E6-08A2-4210-8F44-90BFB5B4C20A}</x14:id>
        </ext>
      </extLst>
    </cfRule>
  </conditionalFormatting>
  <conditionalFormatting sqref="H1349:M1349">
    <cfRule type="dataBar" priority="86">
      <dataBar>
        <cfvo type="min"/>
        <cfvo type="num" val="4"/>
        <color rgb="FFFFC000"/>
      </dataBar>
      <extLst>
        <ext xmlns:x14="http://schemas.microsoft.com/office/spreadsheetml/2009/9/main" uri="{B025F937-C7B1-47D3-B67F-A62EFF666E3E}">
          <x14:id>{139D3D38-2613-4A9A-9D9A-8CBA5443B775}</x14:id>
        </ext>
      </extLst>
    </cfRule>
  </conditionalFormatting>
  <conditionalFormatting sqref="H1350:M1360">
    <cfRule type="dataBar" priority="87">
      <dataBar>
        <cfvo type="min"/>
        <cfvo type="num" val="4"/>
        <color rgb="FFFFC000"/>
      </dataBar>
      <extLst>
        <ext xmlns:x14="http://schemas.microsoft.com/office/spreadsheetml/2009/9/main" uri="{B025F937-C7B1-47D3-B67F-A62EFF666E3E}">
          <x14:id>{808B6F5D-11D8-4926-A7E1-8EAB683432A5}</x14:id>
        </ext>
      </extLst>
    </cfRule>
  </conditionalFormatting>
  <conditionalFormatting sqref="H1361:M1371">
    <cfRule type="dataBar" priority="84">
      <dataBar>
        <cfvo type="min"/>
        <cfvo type="num" val="4"/>
        <color rgb="FFFFC000"/>
      </dataBar>
      <extLst>
        <ext xmlns:x14="http://schemas.microsoft.com/office/spreadsheetml/2009/9/main" uri="{B025F937-C7B1-47D3-B67F-A62EFF666E3E}">
          <x14:id>{2543AE42-FF5C-4E5A-9202-0D6FC1EC90FA}</x14:id>
        </ext>
      </extLst>
    </cfRule>
  </conditionalFormatting>
  <conditionalFormatting sqref="H1372:M1375">
    <cfRule type="dataBar" priority="85">
      <dataBar>
        <cfvo type="min"/>
        <cfvo type="num" val="4"/>
        <color rgb="FFFFC000"/>
      </dataBar>
      <extLst>
        <ext xmlns:x14="http://schemas.microsoft.com/office/spreadsheetml/2009/9/main" uri="{B025F937-C7B1-47D3-B67F-A62EFF666E3E}">
          <x14:id>{3EA27803-CF1E-4D42-9A8C-242230D0ED0D}</x14:id>
        </ext>
      </extLst>
    </cfRule>
  </conditionalFormatting>
  <conditionalFormatting sqref="H1376:M1376">
    <cfRule type="dataBar" priority="82">
      <dataBar>
        <cfvo type="min"/>
        <cfvo type="num" val="4"/>
        <color rgb="FFFFC000"/>
      </dataBar>
      <extLst>
        <ext xmlns:x14="http://schemas.microsoft.com/office/spreadsheetml/2009/9/main" uri="{B025F937-C7B1-47D3-B67F-A62EFF666E3E}">
          <x14:id>{733C10C1-2B6A-4DD9-BC83-774EEB5C4E16}</x14:id>
        </ext>
      </extLst>
    </cfRule>
  </conditionalFormatting>
  <conditionalFormatting sqref="H1377:M1386">
    <cfRule type="dataBar" priority="83">
      <dataBar>
        <cfvo type="min"/>
        <cfvo type="num" val="4"/>
        <color rgb="FFFFC000"/>
      </dataBar>
      <extLst>
        <ext xmlns:x14="http://schemas.microsoft.com/office/spreadsheetml/2009/9/main" uri="{B025F937-C7B1-47D3-B67F-A62EFF666E3E}">
          <x14:id>{2D0996A4-9F97-4C19-BE68-0EA7BC3FDBCE}</x14:id>
        </ext>
      </extLst>
    </cfRule>
  </conditionalFormatting>
  <conditionalFormatting sqref="H1387:M1391">
    <cfRule type="dataBar" priority="81">
      <dataBar>
        <cfvo type="min"/>
        <cfvo type="num" val="4"/>
        <color rgb="FFFFC000"/>
      </dataBar>
      <extLst>
        <ext xmlns:x14="http://schemas.microsoft.com/office/spreadsheetml/2009/9/main" uri="{B025F937-C7B1-47D3-B67F-A62EFF666E3E}">
          <x14:id>{8DE006C4-F113-4864-BA89-09932E02B8D9}</x14:id>
        </ext>
      </extLst>
    </cfRule>
  </conditionalFormatting>
  <conditionalFormatting sqref="H1392:M1395">
    <cfRule type="dataBar" priority="78">
      <dataBar>
        <cfvo type="min"/>
        <cfvo type="num" val="4"/>
        <color rgb="FFFFC000"/>
      </dataBar>
      <extLst>
        <ext xmlns:x14="http://schemas.microsoft.com/office/spreadsheetml/2009/9/main" uri="{B025F937-C7B1-47D3-B67F-A62EFF666E3E}">
          <x14:id>{D12839BB-770C-4F49-AFEE-F846ADE71758}</x14:id>
        </ext>
      </extLst>
    </cfRule>
  </conditionalFormatting>
  <conditionalFormatting sqref="H1396:M1396">
    <cfRule type="dataBar" priority="76">
      <dataBar>
        <cfvo type="min"/>
        <cfvo type="num" val="4"/>
        <color rgb="FFFFC000"/>
      </dataBar>
      <extLst>
        <ext xmlns:x14="http://schemas.microsoft.com/office/spreadsheetml/2009/9/main" uri="{B025F937-C7B1-47D3-B67F-A62EFF666E3E}">
          <x14:id>{6D598FF7-F1DF-4A21-A9C1-0B9B8130097E}</x14:id>
        </ext>
      </extLst>
    </cfRule>
  </conditionalFormatting>
  <conditionalFormatting sqref="H1397:M1407">
    <cfRule type="dataBar" priority="8861">
      <dataBar>
        <cfvo type="min"/>
        <cfvo type="num" val="4"/>
        <color rgb="FFFFC000"/>
      </dataBar>
      <extLst>
        <ext xmlns:x14="http://schemas.microsoft.com/office/spreadsheetml/2009/9/main" uri="{B025F937-C7B1-47D3-B67F-A62EFF666E3E}">
          <x14:id>{96E5137D-5C37-46A7-94CC-EB25C6E818F9}</x14:id>
        </ext>
      </extLst>
    </cfRule>
  </conditionalFormatting>
  <conditionalFormatting sqref="H1408:M1418">
    <cfRule type="dataBar" priority="74">
      <dataBar>
        <cfvo type="min"/>
        <cfvo type="num" val="4"/>
        <color rgb="FFFFC000"/>
      </dataBar>
      <extLst>
        <ext xmlns:x14="http://schemas.microsoft.com/office/spreadsheetml/2009/9/main" uri="{B025F937-C7B1-47D3-B67F-A62EFF666E3E}">
          <x14:id>{D5B2D1E4-F83C-416F-A408-B3DD9871AAFB}</x14:id>
        </ext>
      </extLst>
    </cfRule>
  </conditionalFormatting>
  <conditionalFormatting sqref="H1419:M1420">
    <cfRule type="dataBar" priority="8864">
      <dataBar>
        <cfvo type="min"/>
        <cfvo type="num" val="4"/>
        <color rgb="FFFFC000"/>
      </dataBar>
      <extLst>
        <ext xmlns:x14="http://schemas.microsoft.com/office/spreadsheetml/2009/9/main" uri="{B025F937-C7B1-47D3-B67F-A62EFF666E3E}">
          <x14:id>{96D073B0-987F-471F-B5AA-DA92DA506A55}</x14:id>
        </ext>
      </extLst>
    </cfRule>
  </conditionalFormatting>
  <conditionalFormatting sqref="H1421:M1421">
    <cfRule type="cellIs" dxfId="191" priority="9" stopIfTrue="1" operator="notBetween">
      <formula>1</formula>
      <formula>4</formula>
    </cfRule>
    <cfRule type="dataBar" priority="10">
      <dataBar>
        <cfvo type="min"/>
        <cfvo type="num" val="4"/>
        <color rgb="FFFFC000"/>
      </dataBar>
      <extLst>
        <ext xmlns:x14="http://schemas.microsoft.com/office/spreadsheetml/2009/9/main" uri="{B025F937-C7B1-47D3-B67F-A62EFF666E3E}">
          <x14:id>{74AE529A-7935-4026-A156-7A01961AA581}</x14:id>
        </ext>
      </extLst>
    </cfRule>
  </conditionalFormatting>
  <conditionalFormatting sqref="H1421:M1426">
    <cfRule type="containsBlanks" dxfId="190" priority="14" stopIfTrue="1">
      <formula>LEN(TRIM(H1421))=0</formula>
    </cfRule>
  </conditionalFormatting>
  <conditionalFormatting sqref="H1422:M1423">
    <cfRule type="dataBar" priority="16">
      <dataBar>
        <cfvo type="min"/>
        <cfvo type="num" val="4"/>
        <color rgb="FFFFC000"/>
      </dataBar>
      <extLst>
        <ext xmlns:x14="http://schemas.microsoft.com/office/spreadsheetml/2009/9/main" uri="{B025F937-C7B1-47D3-B67F-A62EFF666E3E}">
          <x14:id>{3E98507C-8F70-406F-BFBD-7149D695AF51}</x14:id>
        </ext>
      </extLst>
    </cfRule>
  </conditionalFormatting>
  <conditionalFormatting sqref="H1422:M1426">
    <cfRule type="cellIs" dxfId="189" priority="15" stopIfTrue="1" operator="notBetween">
      <formula>1</formula>
      <formula>4</formula>
    </cfRule>
  </conditionalFormatting>
  <conditionalFormatting sqref="H1424:M1424">
    <cfRule type="dataBar" priority="39">
      <dataBar>
        <cfvo type="min"/>
        <cfvo type="num" val="4"/>
        <color rgb="FFFFC000"/>
      </dataBar>
      <extLst>
        <ext xmlns:x14="http://schemas.microsoft.com/office/spreadsheetml/2009/9/main" uri="{B025F937-C7B1-47D3-B67F-A62EFF666E3E}">
          <x14:id>{FFBB5DE8-E6FC-42F5-BD28-6FF7958AE086}</x14:id>
        </ext>
      </extLst>
    </cfRule>
  </conditionalFormatting>
  <conditionalFormatting sqref="H1425:M1425">
    <cfRule type="dataBar" priority="36">
      <dataBar>
        <cfvo type="min"/>
        <cfvo type="num" val="4"/>
        <color rgb="FFFFC000"/>
      </dataBar>
      <extLst>
        <ext xmlns:x14="http://schemas.microsoft.com/office/spreadsheetml/2009/9/main" uri="{B025F937-C7B1-47D3-B67F-A62EFF666E3E}">
          <x14:id>{E8E8B35A-21F4-48E5-B83D-15320BE621E5}</x14:id>
        </ext>
      </extLst>
    </cfRule>
  </conditionalFormatting>
  <conditionalFormatting sqref="H1426:M1426">
    <cfRule type="dataBar" priority="56">
      <dataBar>
        <cfvo type="min"/>
        <cfvo type="num" val="4"/>
        <color rgb="FFFFC000"/>
      </dataBar>
      <extLst>
        <ext xmlns:x14="http://schemas.microsoft.com/office/spreadsheetml/2009/9/main" uri="{B025F937-C7B1-47D3-B67F-A62EFF666E3E}">
          <x14:id>{534DD5AC-AF58-495B-AC27-93178C46EB2A}</x14:id>
        </ext>
      </extLst>
    </cfRule>
  </conditionalFormatting>
  <conditionalFormatting sqref="H1427:M1427">
    <cfRule type="dataBar" priority="2">
      <dataBar>
        <cfvo type="min"/>
        <cfvo type="num" val="4"/>
        <color rgb="FFFFC000"/>
      </dataBar>
      <extLst>
        <ext xmlns:x14="http://schemas.microsoft.com/office/spreadsheetml/2009/9/main" uri="{B025F937-C7B1-47D3-B67F-A62EFF666E3E}">
          <x14:id>{C6267D83-65C7-470A-A878-913168EBF4E1}</x14:id>
        </ext>
      </extLst>
    </cfRule>
    <cfRule type="cellIs" dxfId="188" priority="1" stopIfTrue="1" operator="notBetween">
      <formula>1</formula>
      <formula>4</formula>
    </cfRule>
  </conditionalFormatting>
  <conditionalFormatting sqref="H1427:M1434">
    <cfRule type="containsBlanks" dxfId="187" priority="3" stopIfTrue="1">
      <formula>LEN(TRIM(H1427))=0</formula>
    </cfRule>
  </conditionalFormatting>
  <conditionalFormatting sqref="H1428:M1428">
    <cfRule type="dataBar" priority="31">
      <dataBar>
        <cfvo type="min"/>
        <cfvo type="num" val="4"/>
        <color rgb="FFFFC000"/>
      </dataBar>
      <extLst>
        <ext xmlns:x14="http://schemas.microsoft.com/office/spreadsheetml/2009/9/main" uri="{B025F937-C7B1-47D3-B67F-A62EFF666E3E}">
          <x14:id>{1C678FE8-1629-499E-B8D5-7809E0EE1FA8}</x14:id>
        </ext>
      </extLst>
    </cfRule>
  </conditionalFormatting>
  <conditionalFormatting sqref="H1428:M1434">
    <cfRule type="cellIs" dxfId="186" priority="18" stopIfTrue="1" operator="notBetween">
      <formula>1</formula>
      <formula>4</formula>
    </cfRule>
  </conditionalFormatting>
  <conditionalFormatting sqref="H1429:M1429">
    <cfRule type="dataBar" priority="28">
      <dataBar>
        <cfvo type="min"/>
        <cfvo type="num" val="4"/>
        <color rgb="FFFFC000"/>
      </dataBar>
      <extLst>
        <ext xmlns:x14="http://schemas.microsoft.com/office/spreadsheetml/2009/9/main" uri="{B025F937-C7B1-47D3-B67F-A62EFF666E3E}">
          <x14:id>{87FAB6CA-8080-494D-9FAE-139D22174EED}</x14:id>
        </ext>
      </extLst>
    </cfRule>
  </conditionalFormatting>
  <conditionalFormatting sqref="H1430:M1430">
    <cfRule type="dataBar" priority="25">
      <dataBar>
        <cfvo type="min"/>
        <cfvo type="num" val="4"/>
        <color rgb="FFFFC000"/>
      </dataBar>
      <extLst>
        <ext xmlns:x14="http://schemas.microsoft.com/office/spreadsheetml/2009/9/main" uri="{B025F937-C7B1-47D3-B67F-A62EFF666E3E}">
          <x14:id>{3E7F4117-66C5-4BD2-8629-4C4D2E4486A3}</x14:id>
        </ext>
      </extLst>
    </cfRule>
  </conditionalFormatting>
  <conditionalFormatting sqref="H1431:M1431">
    <cfRule type="dataBar" priority="51">
      <dataBar>
        <cfvo type="min"/>
        <cfvo type="num" val="4"/>
        <color rgb="FFFFC000"/>
      </dataBar>
      <extLst>
        <ext xmlns:x14="http://schemas.microsoft.com/office/spreadsheetml/2009/9/main" uri="{B025F937-C7B1-47D3-B67F-A62EFF666E3E}">
          <x14:id>{2A73FDF0-6927-46E9-AE6F-26E4B14D169B}</x14:id>
        </ext>
      </extLst>
    </cfRule>
  </conditionalFormatting>
  <conditionalFormatting sqref="H1432:M1432">
    <cfRule type="dataBar" priority="19">
      <dataBar>
        <cfvo type="min"/>
        <cfvo type="num" val="4"/>
        <color rgb="FFFFC000"/>
      </dataBar>
      <extLst>
        <ext xmlns:x14="http://schemas.microsoft.com/office/spreadsheetml/2009/9/main" uri="{B025F937-C7B1-47D3-B67F-A62EFF666E3E}">
          <x14:id>{B7D1F8C5-1D53-488A-A9D9-FC6BD54320D4}</x14:id>
        </ext>
      </extLst>
    </cfRule>
  </conditionalFormatting>
  <conditionalFormatting sqref="H1433:M1434">
    <cfRule type="dataBar" priority="48">
      <dataBar>
        <cfvo type="min"/>
        <cfvo type="num" val="4"/>
        <color rgb="FFFFC000"/>
      </dataBar>
      <extLst>
        <ext xmlns:x14="http://schemas.microsoft.com/office/spreadsheetml/2009/9/main" uri="{B025F937-C7B1-47D3-B67F-A62EFF666E3E}">
          <x14:id>{9D127D25-CD58-473B-B902-864102AB1F1E}</x14:id>
        </ext>
      </extLst>
    </cfRule>
  </conditionalFormatting>
  <conditionalFormatting sqref="H1436:M1436">
    <cfRule type="dataBar" priority="45">
      <dataBar>
        <cfvo type="min"/>
        <cfvo type="num" val="4"/>
        <color rgb="FFFFC000"/>
      </dataBar>
      <extLst>
        <ext xmlns:x14="http://schemas.microsoft.com/office/spreadsheetml/2009/9/main" uri="{B025F937-C7B1-47D3-B67F-A62EFF666E3E}">
          <x14:id>{1B27A565-30ED-42F8-8700-6DDDBEC85E8D}</x14:id>
        </ext>
      </extLst>
    </cfRule>
  </conditionalFormatting>
  <conditionalFormatting sqref="H1436:M1439">
    <cfRule type="cellIs" dxfId="185" priority="12" stopIfTrue="1" operator="notBetween">
      <formula>1</formula>
      <formula>4</formula>
    </cfRule>
    <cfRule type="containsBlanks" dxfId="184" priority="11" stopIfTrue="1">
      <formula>LEN(TRIM(H1436))=0</formula>
    </cfRule>
  </conditionalFormatting>
  <conditionalFormatting sqref="H1437:M1438">
    <cfRule type="dataBar" priority="42">
      <dataBar>
        <cfvo type="min"/>
        <cfvo type="num" val="4"/>
        <color rgb="FFFFC000"/>
      </dataBar>
      <extLst>
        <ext xmlns:x14="http://schemas.microsoft.com/office/spreadsheetml/2009/9/main" uri="{B025F937-C7B1-47D3-B67F-A62EFF666E3E}">
          <x14:id>{65066EC0-D07E-4EE9-8147-7E441D2F9401}</x14:id>
        </ext>
      </extLst>
    </cfRule>
  </conditionalFormatting>
  <conditionalFormatting sqref="H1439:M1439">
    <cfRule type="dataBar" priority="13">
      <dataBar>
        <cfvo type="min"/>
        <cfvo type="num" val="4"/>
        <color rgb="FFFFC000"/>
      </dataBar>
      <extLst>
        <ext xmlns:x14="http://schemas.microsoft.com/office/spreadsheetml/2009/9/main" uri="{B025F937-C7B1-47D3-B67F-A62EFF666E3E}">
          <x14:id>{82FD937E-8AA1-4544-894E-2DB2FF66E0B5}</x14:id>
        </ext>
      </extLst>
    </cfRule>
  </conditionalFormatting>
  <conditionalFormatting sqref="H1441:M1457">
    <cfRule type="containsBlanks" dxfId="183" priority="20" stopIfTrue="1">
      <formula>LEN(TRIM(H1441))=0</formula>
    </cfRule>
    <cfRule type="cellIs" dxfId="182" priority="21" stopIfTrue="1" operator="notBetween">
      <formula>1</formula>
      <formula>4</formula>
    </cfRule>
  </conditionalFormatting>
  <conditionalFormatting sqref="H1443:M1443">
    <cfRule type="dataBar" priority="54">
      <dataBar>
        <cfvo type="min"/>
        <cfvo type="num" val="4"/>
        <color rgb="FFFFC000"/>
      </dataBar>
      <extLst>
        <ext xmlns:x14="http://schemas.microsoft.com/office/spreadsheetml/2009/9/main" uri="{B025F937-C7B1-47D3-B67F-A62EFF666E3E}">
          <x14:id>{1C4DE7CD-FF5A-4705-A280-AEC064C61EC3}</x14:id>
        </ext>
      </extLst>
    </cfRule>
  </conditionalFormatting>
  <conditionalFormatting sqref="H1446:M1446 H1451:M1451 H1457:M1457 H1462:M1462">
    <cfRule type="dataBar" priority="58">
      <dataBar>
        <cfvo type="min"/>
        <cfvo type="num" val="4"/>
        <color rgb="FFFFC000"/>
      </dataBar>
      <extLst>
        <ext xmlns:x14="http://schemas.microsoft.com/office/spreadsheetml/2009/9/main" uri="{B025F937-C7B1-47D3-B67F-A62EFF666E3E}">
          <x14:id>{23EE4AFC-6C7C-4ADA-BA1F-EE4A1CDFC5EC}</x14:id>
        </ext>
      </extLst>
    </cfRule>
  </conditionalFormatting>
  <conditionalFormatting sqref="H1447:M1448">
    <cfRule type="dataBar" priority="22">
      <dataBar>
        <cfvo type="min"/>
        <cfvo type="num" val="4"/>
        <color rgb="FFFFC000"/>
      </dataBar>
      <extLst>
        <ext xmlns:x14="http://schemas.microsoft.com/office/spreadsheetml/2009/9/main" uri="{B025F937-C7B1-47D3-B67F-A62EFF666E3E}">
          <x14:id>{D66D1455-A9D0-4DF7-B3B3-2DC095F07A93}</x14:id>
        </ext>
      </extLst>
    </cfRule>
  </conditionalFormatting>
  <conditionalFormatting sqref="H1449:M1450 H1444:M1445 H1441:M1442">
    <cfRule type="dataBar" priority="57">
      <dataBar>
        <cfvo type="min"/>
        <cfvo type="num" val="4"/>
        <color rgb="FFFFC000"/>
      </dataBar>
      <extLst>
        <ext xmlns:x14="http://schemas.microsoft.com/office/spreadsheetml/2009/9/main" uri="{B025F937-C7B1-47D3-B67F-A62EFF666E3E}">
          <x14:id>{27202862-82BF-420A-B622-40C267477592}</x14:id>
        </ext>
      </extLst>
    </cfRule>
  </conditionalFormatting>
  <conditionalFormatting sqref="H1454:M1454">
    <cfRule type="dataBar" priority="7">
      <dataBar>
        <cfvo type="min"/>
        <cfvo type="num" val="4"/>
        <color rgb="FFFFC000"/>
      </dataBar>
      <extLst>
        <ext xmlns:x14="http://schemas.microsoft.com/office/spreadsheetml/2009/9/main" uri="{B025F937-C7B1-47D3-B67F-A62EFF666E3E}">
          <x14:id>{167746D8-C60D-42A1-88A6-C7B8A8105699}</x14:id>
        </ext>
      </extLst>
    </cfRule>
  </conditionalFormatting>
  <conditionalFormatting sqref="H1458:M1459">
    <cfRule type="dataBar" priority="6">
      <dataBar>
        <cfvo type="min"/>
        <cfvo type="num" val="4"/>
        <color rgb="FFFFC000"/>
      </dataBar>
      <extLst>
        <ext xmlns:x14="http://schemas.microsoft.com/office/spreadsheetml/2009/9/main" uri="{B025F937-C7B1-47D3-B67F-A62EFF666E3E}">
          <x14:id>{B95AD9D9-3A6B-482F-9FA1-119927118C0D}</x14:id>
        </ext>
      </extLst>
    </cfRule>
    <cfRule type="cellIs" dxfId="181" priority="5" stopIfTrue="1" operator="notBetween">
      <formula>1</formula>
      <formula>4</formula>
    </cfRule>
    <cfRule type="containsBlanks" dxfId="180" priority="4" stopIfTrue="1">
      <formula>LEN(TRIM(H1458))=0</formula>
    </cfRule>
  </conditionalFormatting>
  <conditionalFormatting sqref="H1460:M1461 H1455:M1456 H1452:M1453">
    <cfRule type="dataBar" priority="8">
      <dataBar>
        <cfvo type="min"/>
        <cfvo type="num" val="4"/>
        <color rgb="FFFFC000"/>
      </dataBar>
      <extLst>
        <ext xmlns:x14="http://schemas.microsoft.com/office/spreadsheetml/2009/9/main" uri="{B025F937-C7B1-47D3-B67F-A62EFF666E3E}">
          <x14:id>{392C63E0-F3DB-499A-9D5C-576261E67A6F}</x14:id>
        </ext>
      </extLst>
    </cfRule>
  </conditionalFormatting>
  <conditionalFormatting sqref="H1460:M1462">
    <cfRule type="containsBlanks" dxfId="179" priority="52" stopIfTrue="1">
      <formula>LEN(TRIM(H1460))=0</formula>
    </cfRule>
    <cfRule type="cellIs" dxfId="178" priority="53" stopIfTrue="1" operator="notBetween">
      <formula>1</formula>
      <formula>4</formula>
    </cfRule>
  </conditionalFormatting>
  <conditionalFormatting sqref="H859:N864">
    <cfRule type="containsBlanks" dxfId="177" priority="251">
      <formula>LEN(TRIM(H859))=0</formula>
    </cfRule>
  </conditionalFormatting>
  <conditionalFormatting sqref="H2:O275 H283:O858 H891:M1131">
    <cfRule type="containsBlanks" dxfId="176" priority="158" stopIfTrue="1">
      <formula>LEN(TRIM(H2))=0</formula>
    </cfRule>
  </conditionalFormatting>
  <conditionalFormatting sqref="H276:O282">
    <cfRule type="containsBlanks" dxfId="175" priority="297">
      <formula>LEN(TRIM(H276))=0</formula>
    </cfRule>
  </conditionalFormatting>
  <conditionalFormatting sqref="H865:O866 N867:O876">
    <cfRule type="containsBlanks" dxfId="174" priority="246">
      <formula>LEN(TRIM(H865))=0</formula>
    </cfRule>
  </conditionalFormatting>
  <conditionalFormatting sqref="H877:O877 H878:M890">
    <cfRule type="containsBlanks" dxfId="173" priority="213">
      <formula>LEN(TRIM(H877))=0</formula>
    </cfRule>
  </conditionalFormatting>
  <conditionalFormatting sqref="I277:I278">
    <cfRule type="dataBar" priority="305">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323">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59:I864">
    <cfRule type="dataBar" priority="261">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99">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317">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59:J864">
    <cfRule type="dataBar" priority="255">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314">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332">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59:K864">
    <cfRule type="dataBar" priority="270">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311">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329">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59:L864">
    <cfRule type="dataBar" priority="267">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308">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326">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59:M864">
    <cfRule type="dataBar" priority="264">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334">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59:N864">
    <cfRule type="dataBar" priority="252">
      <dataBar>
        <cfvo type="min"/>
        <cfvo type="max"/>
        <color rgb="FF3FCDFF"/>
      </dataBar>
      <extLst>
        <ext xmlns:x14="http://schemas.microsoft.com/office/spreadsheetml/2009/9/main" uri="{B025F937-C7B1-47D3-B67F-A62EFF666E3E}">
          <x14:id>{653FB42B-DE40-4B04-BFE0-2BFA64BBDF9F}</x14:id>
        </ext>
      </extLst>
    </cfRule>
  </conditionalFormatting>
  <conditionalFormatting sqref="N865:N876">
    <cfRule type="dataBar" priority="243">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77:N1420">
    <cfRule type="dataBar" priority="8862">
      <dataBar>
        <cfvo type="min"/>
        <cfvo type="max"/>
        <color rgb="FF3FCDFF"/>
      </dataBar>
      <extLst>
        <ext xmlns:x14="http://schemas.microsoft.com/office/spreadsheetml/2009/9/main" uri="{B025F937-C7B1-47D3-B67F-A62EFF666E3E}">
          <x14:id>{75FB3F3D-C50D-494B-9F38-66F7DAE5D4A4}</x14:id>
        </ext>
      </extLst>
    </cfRule>
  </conditionalFormatting>
  <conditionalFormatting sqref="N283:O857 N2:O275">
    <cfRule type="dataBar" priority="8860">
      <dataBar>
        <cfvo type="min"/>
        <cfvo type="max"/>
        <color rgb="FF3FCDFF"/>
      </dataBar>
      <extLst>
        <ext xmlns:x14="http://schemas.microsoft.com/office/spreadsheetml/2009/9/main" uri="{B025F937-C7B1-47D3-B67F-A62EFF666E3E}">
          <x14:id>{39683FCE-C635-49D2-A9BA-C7023BF37511}</x14:id>
        </ext>
      </extLst>
    </cfRule>
  </conditionalFormatting>
  <conditionalFormatting sqref="N858:O858">
    <cfRule type="dataBar" priority="276">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335">
      <dataBar>
        <cfvo type="min"/>
        <cfvo type="max"/>
        <color rgb="FF3FCDFF"/>
      </dataBar>
      <extLst>
        <ext xmlns:x14="http://schemas.microsoft.com/office/spreadsheetml/2009/9/main" uri="{B025F937-C7B1-47D3-B67F-A62EFF666E3E}">
          <x14:id>{0AFB4F83-0A52-40D8-AB0C-A5FD58A88EC6}</x14:id>
        </ext>
      </extLst>
    </cfRule>
  </conditionalFormatting>
  <conditionalFormatting sqref="O865:O876">
    <cfRule type="dataBar" priority="244">
      <dataBar>
        <cfvo type="min"/>
        <cfvo type="max"/>
        <color rgb="FF3FCDFF"/>
      </dataBar>
      <extLst>
        <ext xmlns:x14="http://schemas.microsoft.com/office/spreadsheetml/2009/9/main" uri="{B025F937-C7B1-47D3-B67F-A62EFF666E3E}">
          <x14:id>{66C82E18-99EA-4433-AB1D-53FBF20EFA86}</x14:id>
        </ext>
      </extLst>
    </cfRule>
  </conditionalFormatting>
  <conditionalFormatting sqref="O877:O1420">
    <cfRule type="dataBar" priority="8863">
      <dataBar>
        <cfvo type="min"/>
        <cfvo type="max"/>
        <color rgb="FF3FCDFF"/>
      </dataBar>
      <extLst>
        <ext xmlns:x14="http://schemas.microsoft.com/office/spreadsheetml/2009/9/main" uri="{B025F937-C7B1-47D3-B67F-A62EFF666E3E}">
          <x14:id>{FA495B81-A52E-48A7-8207-E9317622B22D}</x14:id>
        </ext>
      </extLst>
    </cfRule>
  </conditionalFormatting>
  <conditionalFormatting sqref="P2:P450 P709:P858 P1142:P1146">
    <cfRule type="containsText" dxfId="172" priority="336" operator="containsText" text="Actual TC">
      <formula>NOT(ISERROR(SEARCH("Actual TC",P2)))</formula>
    </cfRule>
  </conditionalFormatting>
  <conditionalFormatting sqref="P52">
    <cfRule type="dataBar" priority="642">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53:P463">
    <cfRule type="containsText" dxfId="171" priority="362" operator="containsText" text="Actual TC">
      <formula>NOT(ISERROR(SEARCH("Actual TC",P453)))</formula>
    </cfRule>
  </conditionalFormatting>
  <conditionalFormatting sqref="P469">
    <cfRule type="containsText" dxfId="170" priority="591" operator="containsText" text="Actual TC">
      <formula>NOT(ISERROR(SEARCH("Actual TC",P469)))</formula>
    </cfRule>
  </conditionalFormatting>
  <conditionalFormatting sqref="P471:P473">
    <cfRule type="containsText" dxfId="169" priority="590" operator="containsText" text="Actual TC">
      <formula>NOT(ISERROR(SEARCH("Actual TC",P471)))</formula>
    </cfRule>
  </conditionalFormatting>
  <conditionalFormatting sqref="P867:P870">
    <cfRule type="containsText" dxfId="168" priority="237" operator="containsText" text="Actual TC">
      <formula>NOT(ISERROR(SEARCH("Actual TC",P867)))</formula>
    </cfRule>
  </conditionalFormatting>
  <conditionalFormatting sqref="P873:P876">
    <cfRule type="containsText" dxfId="167" priority="229" operator="containsText" text="Actual TC">
      <formula>NOT(ISERROR(SEARCH("Actual TC",P873)))</formula>
    </cfRule>
  </conditionalFormatting>
  <conditionalFormatting sqref="Q71:T71">
    <cfRule type="dataBar" priority="2949">
      <dataBar>
        <cfvo type="min"/>
        <cfvo type="max"/>
        <color rgb="FF3FCDFF"/>
      </dataBar>
      <extLst>
        <ext xmlns:x14="http://schemas.microsoft.com/office/spreadsheetml/2009/9/main" uri="{B025F937-C7B1-47D3-B67F-A62EFF666E3E}">
          <x14:id>{9D887FAC-849C-4DD2-9754-D6AB34DE9384}</x14:id>
        </ext>
      </extLst>
    </cfRule>
  </conditionalFormatting>
  <hyperlinks>
    <hyperlink ref="G435:G439" r:id="rId1" display="https://ec.europa.eu/eurostat/databrowser/view/DS-056120__custom_6262207/default/table" xr:uid="{64A4E7E9-E2C9-4784-8D63-9E64E7CFC3FE}"/>
    <hyperlink ref="G431:G434" r:id="rId2" display="https://ec.europa.eu/eurostat/databrowser/view/DS-056120__custom_5851448/default/table" xr:uid="{B595BB2C-99BA-46ED-BB35-C7522A3C7864}"/>
    <hyperlink ref="G350" r:id="rId3" display="https://doi.org/10.1016/j.resconrec.2023.107389" xr:uid="{42973653-FFAC-497A-A977-F79969579536}"/>
    <hyperlink ref="G736" r:id="rId4" display="https://doi.org/10.1016/j.resconrec.2023.107389" xr:uid="{818B2EDA-DBA0-4EF2-83FC-24BC7E843676}"/>
    <hyperlink ref="G841" r:id="rId5" display="https://doi.org/10.1016/j.resconrec.2023.107389" xr:uid="{C93F6439-DC92-4293-99EF-B0A52E4135A9}"/>
    <hyperlink ref="G632" r:id="rId6" display="https://doi.org/10.1016/j.resconrec.2023.107389" xr:uid="{02B72B08-7A21-47ED-A54A-1B09FB599AFA}"/>
    <hyperlink ref="G700"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H859:H864</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H283:M857 H2:M275</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H858:M858</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H865:M865</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H865:M866</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H866:M866</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H867:M867</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H868:M868</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H869:M872</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H873:M874</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H875:M876</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H877:M890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H878:M878</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H908:M908</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H909:M914 H1129:M1131 H891:M907 H917:M934 H936:M953 H955:M972 H974:M991 H993:M1010 H1012:M1029 H1031:M1048 H1050:M1067 H1069:M1089 H1091:M1108 H1110:M1127</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H915:M916</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H935:M935</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H954:M954</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H973:M973</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H992:M992</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H1011:M1011</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H1030:M1030</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H1049:M1049</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H1068:M1068</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H1090:M1090</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H1109:M1109</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H1128:M1128</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H1142:M1142</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H1143:M1200</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H1201:M1258</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H1266:M1297 H1260:M1262</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H1298:M1301</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H1302:M1302</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H1303:M1313</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H1314:M1324</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H1325:M1328</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H1329:M1329</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H1330:M1339</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H1340:M1344</xm:sqref>
        </x14:conditionalFormatting>
        <x14:conditionalFormatting xmlns:xm="http://schemas.microsoft.com/office/excel/2006/main">
          <x14:cfRule type="dataBar" id="{587E42E6-08A2-4210-8F44-90BFB5B4C20A}">
            <x14:dataBar minLength="0" maxLength="100" gradient="0">
              <x14:cfvo type="autoMin"/>
              <x14:cfvo type="num">
                <xm:f>4</xm:f>
              </x14:cfvo>
              <x14:negativeFillColor rgb="FFFF0000"/>
              <x14:axisColor rgb="FF000000"/>
            </x14:dataBar>
          </x14:cfRule>
          <xm:sqref>H1345:M1348</xm:sqref>
        </x14:conditionalFormatting>
        <x14:conditionalFormatting xmlns:xm="http://schemas.microsoft.com/office/excel/2006/main">
          <x14:cfRule type="dataBar" id="{139D3D38-2613-4A9A-9D9A-8CBA5443B775}">
            <x14:dataBar minLength="0" maxLength="100" gradient="0">
              <x14:cfvo type="autoMin"/>
              <x14:cfvo type="num">
                <xm:f>4</xm:f>
              </x14:cfvo>
              <x14:negativeFillColor rgb="FFFF0000"/>
              <x14:axisColor rgb="FF000000"/>
            </x14:dataBar>
          </x14:cfRule>
          <xm:sqref>H1349:M1349</xm:sqref>
        </x14:conditionalFormatting>
        <x14:conditionalFormatting xmlns:xm="http://schemas.microsoft.com/office/excel/2006/main">
          <x14:cfRule type="dataBar" id="{808B6F5D-11D8-4926-A7E1-8EAB683432A5}">
            <x14:dataBar minLength="0" maxLength="100" gradient="0">
              <x14:cfvo type="autoMin"/>
              <x14:cfvo type="num">
                <xm:f>4</xm:f>
              </x14:cfvo>
              <x14:negativeFillColor rgb="FFFF0000"/>
              <x14:axisColor rgb="FF000000"/>
            </x14:dataBar>
          </x14:cfRule>
          <xm:sqref>H1350:M1360</xm:sqref>
        </x14:conditionalFormatting>
        <x14:conditionalFormatting xmlns:xm="http://schemas.microsoft.com/office/excel/2006/main">
          <x14:cfRule type="dataBar" id="{2543AE42-FF5C-4E5A-9202-0D6FC1EC90FA}">
            <x14:dataBar minLength="0" maxLength="100" gradient="0">
              <x14:cfvo type="autoMin"/>
              <x14:cfvo type="num">
                <xm:f>4</xm:f>
              </x14:cfvo>
              <x14:negativeFillColor rgb="FFFF0000"/>
              <x14:axisColor rgb="FF000000"/>
            </x14:dataBar>
          </x14:cfRule>
          <xm:sqref>H1361:M1371</xm:sqref>
        </x14:conditionalFormatting>
        <x14:conditionalFormatting xmlns:xm="http://schemas.microsoft.com/office/excel/2006/main">
          <x14:cfRule type="dataBar" id="{3EA27803-CF1E-4D42-9A8C-242230D0ED0D}">
            <x14:dataBar minLength="0" maxLength="100" gradient="0">
              <x14:cfvo type="autoMin"/>
              <x14:cfvo type="num">
                <xm:f>4</xm:f>
              </x14:cfvo>
              <x14:negativeFillColor rgb="FFFF0000"/>
              <x14:axisColor rgb="FF000000"/>
            </x14:dataBar>
          </x14:cfRule>
          <xm:sqref>H1372:M1375</xm:sqref>
        </x14:conditionalFormatting>
        <x14:conditionalFormatting xmlns:xm="http://schemas.microsoft.com/office/excel/2006/main">
          <x14:cfRule type="dataBar" id="{733C10C1-2B6A-4DD9-BC83-774EEB5C4E16}">
            <x14:dataBar minLength="0" maxLength="100" gradient="0">
              <x14:cfvo type="autoMin"/>
              <x14:cfvo type="num">
                <xm:f>4</xm:f>
              </x14:cfvo>
              <x14:negativeFillColor rgb="FFFF0000"/>
              <x14:axisColor rgb="FF000000"/>
            </x14:dataBar>
          </x14:cfRule>
          <xm:sqref>H1376:M1376</xm:sqref>
        </x14:conditionalFormatting>
        <x14:conditionalFormatting xmlns:xm="http://schemas.microsoft.com/office/excel/2006/main">
          <x14:cfRule type="dataBar" id="{2D0996A4-9F97-4C19-BE68-0EA7BC3FDBCE}">
            <x14:dataBar minLength="0" maxLength="100" gradient="0">
              <x14:cfvo type="autoMin"/>
              <x14:cfvo type="num">
                <xm:f>4</xm:f>
              </x14:cfvo>
              <x14:negativeFillColor rgb="FFFF0000"/>
              <x14:axisColor rgb="FF000000"/>
            </x14:dataBar>
          </x14:cfRule>
          <xm:sqref>H1377:M1386</xm:sqref>
        </x14:conditionalFormatting>
        <x14:conditionalFormatting xmlns:xm="http://schemas.microsoft.com/office/excel/2006/main">
          <x14:cfRule type="dataBar" id="{8DE006C4-F113-4864-BA89-09932E02B8D9}">
            <x14:dataBar minLength="0" maxLength="100" gradient="0">
              <x14:cfvo type="autoMin"/>
              <x14:cfvo type="num">
                <xm:f>4</xm:f>
              </x14:cfvo>
              <x14:negativeFillColor rgb="FFFF0000"/>
              <x14:axisColor rgb="FF000000"/>
            </x14:dataBar>
          </x14:cfRule>
          <xm:sqref>H1387:M1391</xm:sqref>
        </x14:conditionalFormatting>
        <x14:conditionalFormatting xmlns:xm="http://schemas.microsoft.com/office/excel/2006/main">
          <x14:cfRule type="dataBar" id="{D12839BB-770C-4F49-AFEE-F846ADE71758}">
            <x14:dataBar minLength="0" maxLength="100" gradient="0">
              <x14:cfvo type="autoMin"/>
              <x14:cfvo type="num">
                <xm:f>4</xm:f>
              </x14:cfvo>
              <x14:negativeFillColor rgb="FFFF0000"/>
              <x14:axisColor rgb="FF000000"/>
            </x14:dataBar>
          </x14:cfRule>
          <xm:sqref>H1392:M1395</xm:sqref>
        </x14:conditionalFormatting>
        <x14:conditionalFormatting xmlns:xm="http://schemas.microsoft.com/office/excel/2006/main">
          <x14:cfRule type="dataBar" id="{6D598FF7-F1DF-4A21-A9C1-0B9B8130097E}">
            <x14:dataBar minLength="0" maxLength="100" gradient="0">
              <x14:cfvo type="autoMin"/>
              <x14:cfvo type="num">
                <xm:f>4</xm:f>
              </x14:cfvo>
              <x14:negativeFillColor rgb="FFFF0000"/>
              <x14:axisColor rgb="FF000000"/>
            </x14:dataBar>
          </x14:cfRule>
          <xm:sqref>H1396:M1396</xm:sqref>
        </x14:conditionalFormatting>
        <x14:conditionalFormatting xmlns:xm="http://schemas.microsoft.com/office/excel/2006/main">
          <x14:cfRule type="dataBar" id="{96E5137D-5C37-46A7-94CC-EB25C6E818F9}">
            <x14:dataBar minLength="0" maxLength="100" gradient="0">
              <x14:cfvo type="autoMin"/>
              <x14:cfvo type="num">
                <xm:f>4</xm:f>
              </x14:cfvo>
              <x14:negativeFillColor rgb="FFFF0000"/>
              <x14:axisColor rgb="FF000000"/>
            </x14:dataBar>
          </x14:cfRule>
          <xm:sqref>H1397:M1407</xm:sqref>
        </x14:conditionalFormatting>
        <x14:conditionalFormatting xmlns:xm="http://schemas.microsoft.com/office/excel/2006/main">
          <x14:cfRule type="dataBar" id="{D5B2D1E4-F83C-416F-A408-B3DD9871AAFB}">
            <x14:dataBar minLength="0" maxLength="100" gradient="0">
              <x14:cfvo type="autoMin"/>
              <x14:cfvo type="num">
                <xm:f>4</xm:f>
              </x14:cfvo>
              <x14:negativeFillColor rgb="FFFF0000"/>
              <x14:axisColor rgb="FF000000"/>
            </x14:dataBar>
          </x14:cfRule>
          <xm:sqref>H1408:M1418</xm:sqref>
        </x14:conditionalFormatting>
        <x14:conditionalFormatting xmlns:xm="http://schemas.microsoft.com/office/excel/2006/main">
          <x14:cfRule type="dataBar" id="{96D073B0-987F-471F-B5AA-DA92DA506A55}">
            <x14:dataBar minLength="0" maxLength="100" gradient="0">
              <x14:cfvo type="autoMin"/>
              <x14:cfvo type="num">
                <xm:f>4</xm:f>
              </x14:cfvo>
              <x14:negativeFillColor rgb="FFFF0000"/>
              <x14:axisColor rgb="FF000000"/>
            </x14:dataBar>
          </x14:cfRule>
          <xm:sqref>H1419:M1420</xm:sqref>
        </x14:conditionalFormatting>
        <x14:conditionalFormatting xmlns:xm="http://schemas.microsoft.com/office/excel/2006/main">
          <x14:cfRule type="dataBar" id="{74AE529A-7935-4026-A156-7A01961AA581}">
            <x14:dataBar minLength="0" maxLength="100" gradient="0">
              <x14:cfvo type="autoMin"/>
              <x14:cfvo type="num">
                <xm:f>4</xm:f>
              </x14:cfvo>
              <x14:negativeFillColor rgb="FFFF0000"/>
              <x14:axisColor rgb="FF000000"/>
            </x14:dataBar>
          </x14:cfRule>
          <xm:sqref>H1421:M1421</xm:sqref>
        </x14:conditionalFormatting>
        <x14:conditionalFormatting xmlns:xm="http://schemas.microsoft.com/office/excel/2006/main">
          <x14:cfRule type="dataBar" id="{3E98507C-8F70-406F-BFBD-7149D695AF51}">
            <x14:dataBar minLength="0" maxLength="100" gradient="0">
              <x14:cfvo type="autoMin"/>
              <x14:cfvo type="num">
                <xm:f>4</xm:f>
              </x14:cfvo>
              <x14:negativeFillColor rgb="FFFF0000"/>
              <x14:axisColor rgb="FF000000"/>
            </x14:dataBar>
          </x14:cfRule>
          <xm:sqref>H1422:M1423</xm:sqref>
        </x14:conditionalFormatting>
        <x14:conditionalFormatting xmlns:xm="http://schemas.microsoft.com/office/excel/2006/main">
          <x14:cfRule type="dataBar" id="{FFBB5DE8-E6FC-42F5-BD28-6FF7958AE086}">
            <x14:dataBar minLength="0" maxLength="100" gradient="0">
              <x14:cfvo type="autoMin"/>
              <x14:cfvo type="num">
                <xm:f>4</xm:f>
              </x14:cfvo>
              <x14:negativeFillColor rgb="FFFF0000"/>
              <x14:axisColor rgb="FF000000"/>
            </x14:dataBar>
          </x14:cfRule>
          <xm:sqref>H1424:M1424</xm:sqref>
        </x14:conditionalFormatting>
        <x14:conditionalFormatting xmlns:xm="http://schemas.microsoft.com/office/excel/2006/main">
          <x14:cfRule type="dataBar" id="{E8E8B35A-21F4-48E5-B83D-15320BE621E5}">
            <x14:dataBar minLength="0" maxLength="100" gradient="0">
              <x14:cfvo type="autoMin"/>
              <x14:cfvo type="num">
                <xm:f>4</xm:f>
              </x14:cfvo>
              <x14:negativeFillColor rgb="FFFF0000"/>
              <x14:axisColor rgb="FF000000"/>
            </x14:dataBar>
          </x14:cfRule>
          <xm:sqref>H1425:M1425</xm:sqref>
        </x14:conditionalFormatting>
        <x14:conditionalFormatting xmlns:xm="http://schemas.microsoft.com/office/excel/2006/main">
          <x14:cfRule type="dataBar" id="{534DD5AC-AF58-495B-AC27-93178C46EB2A}">
            <x14:dataBar minLength="0" maxLength="100" gradient="0">
              <x14:cfvo type="autoMin"/>
              <x14:cfvo type="num">
                <xm:f>4</xm:f>
              </x14:cfvo>
              <x14:negativeFillColor rgb="FFFF0000"/>
              <x14:axisColor rgb="FF000000"/>
            </x14:dataBar>
          </x14:cfRule>
          <xm:sqref>H1426:M1426</xm:sqref>
        </x14:conditionalFormatting>
        <x14:conditionalFormatting xmlns:xm="http://schemas.microsoft.com/office/excel/2006/main">
          <x14:cfRule type="dataBar" id="{C6267D83-65C7-470A-A878-913168EBF4E1}">
            <x14:dataBar minLength="0" maxLength="100" gradient="0">
              <x14:cfvo type="autoMin"/>
              <x14:cfvo type="num">
                <xm:f>4</xm:f>
              </x14:cfvo>
              <x14:negativeFillColor rgb="FFFF0000"/>
              <x14:axisColor rgb="FF000000"/>
            </x14:dataBar>
          </x14:cfRule>
          <xm:sqref>H1427:M1427</xm:sqref>
        </x14:conditionalFormatting>
        <x14:conditionalFormatting xmlns:xm="http://schemas.microsoft.com/office/excel/2006/main">
          <x14:cfRule type="dataBar" id="{1C678FE8-1629-499E-B8D5-7809E0EE1FA8}">
            <x14:dataBar minLength="0" maxLength="100" gradient="0">
              <x14:cfvo type="autoMin"/>
              <x14:cfvo type="num">
                <xm:f>4</xm:f>
              </x14:cfvo>
              <x14:negativeFillColor rgb="FFFF0000"/>
              <x14:axisColor rgb="FF000000"/>
            </x14:dataBar>
          </x14:cfRule>
          <xm:sqref>H1428:M1428</xm:sqref>
        </x14:conditionalFormatting>
        <x14:conditionalFormatting xmlns:xm="http://schemas.microsoft.com/office/excel/2006/main">
          <x14:cfRule type="dataBar" id="{87FAB6CA-8080-494D-9FAE-139D22174EED}">
            <x14:dataBar minLength="0" maxLength="100" gradient="0">
              <x14:cfvo type="autoMin"/>
              <x14:cfvo type="num">
                <xm:f>4</xm:f>
              </x14:cfvo>
              <x14:negativeFillColor rgb="FFFF0000"/>
              <x14:axisColor rgb="FF000000"/>
            </x14:dataBar>
          </x14:cfRule>
          <xm:sqref>H1429:M1429</xm:sqref>
        </x14:conditionalFormatting>
        <x14:conditionalFormatting xmlns:xm="http://schemas.microsoft.com/office/excel/2006/main">
          <x14:cfRule type="dataBar" id="{3E7F4117-66C5-4BD2-8629-4C4D2E4486A3}">
            <x14:dataBar minLength="0" maxLength="100" gradient="0">
              <x14:cfvo type="autoMin"/>
              <x14:cfvo type="num">
                <xm:f>4</xm:f>
              </x14:cfvo>
              <x14:negativeFillColor rgb="FFFF0000"/>
              <x14:axisColor rgb="FF000000"/>
            </x14:dataBar>
          </x14:cfRule>
          <xm:sqref>H1430:M1430</xm:sqref>
        </x14:conditionalFormatting>
        <x14:conditionalFormatting xmlns:xm="http://schemas.microsoft.com/office/excel/2006/main">
          <x14:cfRule type="dataBar" id="{2A73FDF0-6927-46E9-AE6F-26E4B14D169B}">
            <x14:dataBar minLength="0" maxLength="100" gradient="0">
              <x14:cfvo type="autoMin"/>
              <x14:cfvo type="num">
                <xm:f>4</xm:f>
              </x14:cfvo>
              <x14:negativeFillColor rgb="FFFF0000"/>
              <x14:axisColor rgb="FF000000"/>
            </x14:dataBar>
          </x14:cfRule>
          <xm:sqref>H1431:M1431</xm:sqref>
        </x14:conditionalFormatting>
        <x14:conditionalFormatting xmlns:xm="http://schemas.microsoft.com/office/excel/2006/main">
          <x14:cfRule type="dataBar" id="{B7D1F8C5-1D53-488A-A9D9-FC6BD54320D4}">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9D127D25-CD58-473B-B902-864102AB1F1E}">
            <x14:dataBar minLength="0" maxLength="100" gradient="0">
              <x14:cfvo type="autoMin"/>
              <x14:cfvo type="num">
                <xm:f>4</xm:f>
              </x14:cfvo>
              <x14:negativeFillColor rgb="FFFF0000"/>
              <x14:axisColor rgb="FF000000"/>
            </x14:dataBar>
          </x14:cfRule>
          <xm:sqref>H1433:M1434</xm:sqref>
        </x14:conditionalFormatting>
        <x14:conditionalFormatting xmlns:xm="http://schemas.microsoft.com/office/excel/2006/main">
          <x14:cfRule type="dataBar" id="{1B27A565-30ED-42F8-8700-6DDDBEC85E8D}">
            <x14:dataBar minLength="0" maxLength="100" gradient="0">
              <x14:cfvo type="autoMin"/>
              <x14:cfvo type="num">
                <xm:f>4</xm:f>
              </x14:cfvo>
              <x14:negativeFillColor rgb="FFFF0000"/>
              <x14:axisColor rgb="FF000000"/>
            </x14:dataBar>
          </x14:cfRule>
          <xm:sqref>H1436:M1436</xm:sqref>
        </x14:conditionalFormatting>
        <x14:conditionalFormatting xmlns:xm="http://schemas.microsoft.com/office/excel/2006/main">
          <x14:cfRule type="dataBar" id="{65066EC0-D07E-4EE9-8147-7E441D2F9401}">
            <x14:dataBar minLength="0" maxLength="100" gradient="0">
              <x14:cfvo type="autoMin"/>
              <x14:cfvo type="num">
                <xm:f>4</xm:f>
              </x14:cfvo>
              <x14:negativeFillColor rgb="FFFF0000"/>
              <x14:axisColor rgb="FF000000"/>
            </x14:dataBar>
          </x14:cfRule>
          <xm:sqref>H1437:M1438</xm:sqref>
        </x14:conditionalFormatting>
        <x14:conditionalFormatting xmlns:xm="http://schemas.microsoft.com/office/excel/2006/main">
          <x14:cfRule type="dataBar" id="{82FD937E-8AA1-4544-894E-2DB2FF66E0B5}">
            <x14:dataBar minLength="0" maxLength="100" gradient="0">
              <x14:cfvo type="autoMin"/>
              <x14:cfvo type="num">
                <xm:f>4</xm:f>
              </x14:cfvo>
              <x14:negativeFillColor rgb="FFFF0000"/>
              <x14:axisColor rgb="FF000000"/>
            </x14:dataBar>
          </x14:cfRule>
          <xm:sqref>H1439:M1439</xm:sqref>
        </x14:conditionalFormatting>
        <x14:conditionalFormatting xmlns:xm="http://schemas.microsoft.com/office/excel/2006/main">
          <x14:cfRule type="dataBar" id="{1C4DE7CD-FF5A-4705-A280-AEC064C61EC3}">
            <x14:dataBar minLength="0" maxLength="100" gradient="0">
              <x14:cfvo type="autoMin"/>
              <x14:cfvo type="num">
                <xm:f>4</xm:f>
              </x14:cfvo>
              <x14:negativeFillColor rgb="FFFF0000"/>
              <x14:axisColor rgb="FF000000"/>
            </x14:dataBar>
          </x14:cfRule>
          <xm:sqref>H1443:M1443</xm:sqref>
        </x14:conditionalFormatting>
        <x14:conditionalFormatting xmlns:xm="http://schemas.microsoft.com/office/excel/2006/main">
          <x14:cfRule type="dataBar" id="{23EE4AFC-6C7C-4ADA-BA1F-EE4A1CDFC5EC}">
            <x14:dataBar minLength="0" maxLength="100" gradient="0">
              <x14:cfvo type="autoMin"/>
              <x14:cfvo type="num">
                <xm:f>4</xm:f>
              </x14:cfvo>
              <x14:negativeFillColor rgb="FFFF0000"/>
              <x14:axisColor rgb="FF000000"/>
            </x14:dataBar>
          </x14:cfRule>
          <xm:sqref>H1446:M1446 H1451:M1451 H1457:M1457 H1462:M1462</xm:sqref>
        </x14:conditionalFormatting>
        <x14:conditionalFormatting xmlns:xm="http://schemas.microsoft.com/office/excel/2006/main">
          <x14:cfRule type="dataBar" id="{D66D1455-A9D0-4DF7-B3B3-2DC095F07A93}">
            <x14:dataBar minLength="0" maxLength="100" gradient="0">
              <x14:cfvo type="autoMin"/>
              <x14:cfvo type="num">
                <xm:f>4</xm:f>
              </x14:cfvo>
              <x14:negativeFillColor rgb="FFFF0000"/>
              <x14:axisColor rgb="FF000000"/>
            </x14:dataBar>
          </x14:cfRule>
          <xm:sqref>H1447:M1448</xm:sqref>
        </x14:conditionalFormatting>
        <x14:conditionalFormatting xmlns:xm="http://schemas.microsoft.com/office/excel/2006/main">
          <x14:cfRule type="dataBar" id="{27202862-82BF-420A-B622-40C267477592}">
            <x14:dataBar minLength="0" maxLength="100" gradient="0">
              <x14:cfvo type="autoMin"/>
              <x14:cfvo type="num">
                <xm:f>4</xm:f>
              </x14:cfvo>
              <x14:negativeFillColor rgb="FFFF0000"/>
              <x14:axisColor rgb="FF000000"/>
            </x14:dataBar>
          </x14:cfRule>
          <xm:sqref>H1449:M1450 H1444:M1445 H1441:M1442</xm:sqref>
        </x14:conditionalFormatting>
        <x14:conditionalFormatting xmlns:xm="http://schemas.microsoft.com/office/excel/2006/main">
          <x14:cfRule type="dataBar" id="{167746D8-C60D-42A1-88A6-C7B8A8105699}">
            <x14:dataBar minLength="0" maxLength="100" gradient="0">
              <x14:cfvo type="autoMin"/>
              <x14:cfvo type="num">
                <xm:f>4</xm:f>
              </x14:cfvo>
              <x14:negativeFillColor rgb="FFFF0000"/>
              <x14:axisColor rgb="FF000000"/>
            </x14:dataBar>
          </x14:cfRule>
          <xm:sqref>H1454:M1454</xm:sqref>
        </x14:conditionalFormatting>
        <x14:conditionalFormatting xmlns:xm="http://schemas.microsoft.com/office/excel/2006/main">
          <x14:cfRule type="dataBar" id="{B95AD9D9-3A6B-482F-9FA1-119927118C0D}">
            <x14:dataBar minLength="0" maxLength="100" gradient="0">
              <x14:cfvo type="autoMin"/>
              <x14:cfvo type="num">
                <xm:f>4</xm:f>
              </x14:cfvo>
              <x14:negativeFillColor rgb="FFFF0000"/>
              <x14:axisColor rgb="FF000000"/>
            </x14:dataBar>
          </x14:cfRule>
          <xm:sqref>H1458:M1459</xm:sqref>
        </x14:conditionalFormatting>
        <x14:conditionalFormatting xmlns:xm="http://schemas.microsoft.com/office/excel/2006/main">
          <x14:cfRule type="dataBar" id="{392C63E0-F3DB-499A-9D5C-576261E67A6F}">
            <x14:dataBar minLength="0" maxLength="100" gradient="0">
              <x14:cfvo type="autoMin"/>
              <x14:cfvo type="num">
                <xm:f>4</xm:f>
              </x14:cfvo>
              <x14:negativeFillColor rgb="FFFF0000"/>
              <x14:axisColor rgb="FF000000"/>
            </x14:dataBar>
          </x14:cfRule>
          <xm:sqref>H1460:M1461 H1455:M1456 H1452:M1453</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I859:I864</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J859:J864</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K859:K864</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L859:L864</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M859:M864</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N859:N864</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N865:N876</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N877:N1420</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N283:O857 N2:O275</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N858:O858</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O865:O876</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O877:O1420</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631"/>
  <sheetViews>
    <sheetView tabSelected="1" zoomScaleNormal="100" workbookViewId="0">
      <selection activeCell="B5" sqref="B4:B5"/>
    </sheetView>
  </sheetViews>
  <sheetFormatPr defaultRowHeight="14.4"/>
  <cols>
    <col min="1" max="1" width="44.5546875" customWidth="1"/>
    <col min="2" max="2" width="33.33203125" bestFit="1" customWidth="1"/>
    <col min="3" max="3" width="16" customWidth="1"/>
    <col min="4" max="4" width="18.88671875" customWidth="1"/>
    <col min="5" max="5" width="25.109375" customWidth="1"/>
    <col min="6" max="6" width="28" customWidth="1"/>
    <col min="7" max="7" width="29.109375" customWidth="1"/>
    <col min="8" max="8" width="19.88671875" customWidth="1"/>
    <col min="9" max="9" width="18.5546875" bestFit="1" customWidth="1"/>
    <col min="10" max="10" width="20.6640625" bestFit="1" customWidth="1"/>
    <col min="11" max="11" width="15" customWidth="1"/>
    <col min="12" max="12" width="13.44140625" customWidth="1"/>
    <col min="13" max="13" width="12" customWidth="1"/>
    <col min="14" max="14" width="14.33203125" customWidth="1"/>
  </cols>
  <sheetData>
    <row r="1" spans="1:7" s="1067" customFormat="1"/>
    <row r="2" spans="1:7" s="1067" customFormat="1"/>
    <row r="3" spans="1:7">
      <c r="A3" s="222" t="s">
        <v>2</v>
      </c>
      <c r="B3" s="222" t="s">
        <v>2013</v>
      </c>
      <c r="C3" s="222" t="s">
        <v>104</v>
      </c>
      <c r="F3" s="222" t="s">
        <v>132</v>
      </c>
      <c r="G3" s="222" t="s">
        <v>104</v>
      </c>
    </row>
    <row r="4" spans="1:7">
      <c r="A4" t="s">
        <v>2045</v>
      </c>
      <c r="B4" s="897">
        <v>1.1000000000000001</v>
      </c>
      <c r="C4" t="s">
        <v>2043</v>
      </c>
      <c r="F4" t="s">
        <v>840</v>
      </c>
      <c r="G4" t="s">
        <v>2038</v>
      </c>
    </row>
    <row r="5" spans="1:7">
      <c r="A5" t="s">
        <v>2046</v>
      </c>
      <c r="B5" s="897">
        <v>0.9</v>
      </c>
      <c r="C5" t="s">
        <v>2043</v>
      </c>
      <c r="F5" t="s">
        <v>841</v>
      </c>
      <c r="G5" s="367" t="s">
        <v>2038</v>
      </c>
    </row>
    <row r="6" spans="1:7">
      <c r="A6" t="s">
        <v>2047</v>
      </c>
      <c r="B6" s="897">
        <f>B4+B14+B13+B12+B11+B9</f>
        <v>1.3655000000000002</v>
      </c>
      <c r="C6" t="s">
        <v>2044</v>
      </c>
    </row>
    <row r="7" spans="1:7">
      <c r="A7" t="s">
        <v>2048</v>
      </c>
      <c r="B7" s="897">
        <f>B5+B14+B13+B12+B10+B9</f>
        <v>1.1561000000000001</v>
      </c>
      <c r="C7" t="s">
        <v>2044</v>
      </c>
    </row>
    <row r="8" spans="1:7">
      <c r="B8" s="897"/>
    </row>
    <row r="9" spans="1:7">
      <c r="A9" t="s">
        <v>2027</v>
      </c>
      <c r="B9" s="897">
        <v>0.05</v>
      </c>
      <c r="C9" t="s">
        <v>2033</v>
      </c>
    </row>
    <row r="10" spans="1:7">
      <c r="A10" t="s">
        <v>2028</v>
      </c>
      <c r="B10" s="897">
        <v>5.9999999999999995E-4</v>
      </c>
      <c r="C10" t="s">
        <v>2033</v>
      </c>
    </row>
    <row r="11" spans="1:7">
      <c r="A11" t="s">
        <v>2029</v>
      </c>
      <c r="B11" s="897">
        <v>0.01</v>
      </c>
      <c r="C11" t="s">
        <v>2033</v>
      </c>
    </row>
    <row r="12" spans="1:7">
      <c r="A12" t="s">
        <v>2030</v>
      </c>
      <c r="B12" s="897">
        <v>1.5E-3</v>
      </c>
      <c r="C12" t="s">
        <v>2033</v>
      </c>
    </row>
    <row r="13" spans="1:7">
      <c r="A13" t="s">
        <v>2031</v>
      </c>
      <c r="B13" s="897">
        <v>4.0000000000000001E-3</v>
      </c>
      <c r="C13" t="s">
        <v>2033</v>
      </c>
    </row>
    <row r="14" spans="1:7">
      <c r="A14" t="s">
        <v>2032</v>
      </c>
      <c r="B14" s="897">
        <v>0.2</v>
      </c>
      <c r="C14" t="s">
        <v>2033</v>
      </c>
    </row>
    <row r="16" spans="1:7">
      <c r="A16" t="s">
        <v>2025</v>
      </c>
    </row>
    <row r="17" spans="1:20" s="1069" customFormat="1">
      <c r="A17" s="1068" t="s">
        <v>2018</v>
      </c>
    </row>
    <row r="18" spans="1:20" s="1069" customFormat="1" ht="15" thickBot="1"/>
    <row r="19" spans="1:20">
      <c r="A19" s="895" t="s">
        <v>1022</v>
      </c>
      <c r="B19" s="895" t="s">
        <v>101</v>
      </c>
      <c r="C19" s="895" t="s">
        <v>102</v>
      </c>
      <c r="D19" t="s">
        <v>245</v>
      </c>
      <c r="E19" t="s">
        <v>2015</v>
      </c>
      <c r="F19" t="s">
        <v>2014</v>
      </c>
      <c r="G19" t="s">
        <v>2020</v>
      </c>
      <c r="H19" t="s">
        <v>2021</v>
      </c>
      <c r="I19" s="895" t="s">
        <v>2016</v>
      </c>
      <c r="J19" s="895" t="s">
        <v>2017</v>
      </c>
      <c r="K19" s="895" t="s">
        <v>2034</v>
      </c>
      <c r="L19" s="895" t="s">
        <v>2036</v>
      </c>
      <c r="M19" s="895" t="s">
        <v>2037</v>
      </c>
      <c r="N19" s="895" t="s">
        <v>2035</v>
      </c>
      <c r="O19" s="419" t="s">
        <v>105</v>
      </c>
      <c r="P19" s="420" t="s">
        <v>65</v>
      </c>
      <c r="Q19" s="420" t="s">
        <v>67</v>
      </c>
      <c r="R19" s="420" t="s">
        <v>73</v>
      </c>
      <c r="S19" s="421" t="s">
        <v>79</v>
      </c>
      <c r="T19" s="423" t="s">
        <v>107</v>
      </c>
    </row>
    <row r="20" spans="1:20">
      <c r="A20" s="1005" t="s">
        <v>180</v>
      </c>
      <c r="B20" s="895">
        <v>2011</v>
      </c>
      <c r="C20" s="895" t="s">
        <v>99</v>
      </c>
      <c r="D20" s="217">
        <v>7.0630766380000001</v>
      </c>
      <c r="E20" s="217">
        <v>2.9838768519999999</v>
      </c>
      <c r="F20" s="217">
        <v>14.88017883</v>
      </c>
      <c r="G20" s="217">
        <f>E20/(E20+F20)</f>
        <v>0.16703244241488699</v>
      </c>
      <c r="H20" s="217">
        <f t="shared" ref="H20:H51" si="0">1-G20</f>
        <v>0.83296755758511298</v>
      </c>
      <c r="I20" s="927">
        <f>E20-(D20*G20)</f>
        <v>1.8041139101913313</v>
      </c>
      <c r="J20" s="927">
        <f t="shared" ref="J20:J51" si="1">F20-D20*H20</f>
        <v>8.9968651338086687</v>
      </c>
      <c r="K20" s="217">
        <f t="shared" ref="K20:K51" si="2">I20*$B$5</f>
        <v>1.6237025191721981</v>
      </c>
      <c r="L20" s="217">
        <f t="shared" ref="L20:L51" si="3">I20*$B$4</f>
        <v>1.9845253012104647</v>
      </c>
      <c r="M20" s="217">
        <f t="shared" ref="M20:M51" si="4">J20*$B$5</f>
        <v>8.0971786204278029</v>
      </c>
      <c r="N20" s="217">
        <f t="shared" ref="N20:N51" si="5">J20*$B$4</f>
        <v>9.8965516471895363</v>
      </c>
      <c r="O20">
        <v>1</v>
      </c>
      <c r="P20">
        <v>1</v>
      </c>
      <c r="Q20">
        <v>2</v>
      </c>
      <c r="R20">
        <v>2</v>
      </c>
      <c r="S20">
        <v>2</v>
      </c>
    </row>
    <row r="21" spans="1:20">
      <c r="A21" s="895" t="s">
        <v>180</v>
      </c>
      <c r="B21" s="895">
        <v>2011</v>
      </c>
      <c r="C21" s="895" t="s">
        <v>98</v>
      </c>
      <c r="D21" s="217">
        <v>15.99000421</v>
      </c>
      <c r="E21" s="217">
        <v>5.3017206320000003</v>
      </c>
      <c r="F21" s="217">
        <v>26.8794705</v>
      </c>
      <c r="G21" s="217">
        <f t="shared" ref="G20:G51" si="6">E21/(E21+F21)</f>
        <v>0.16474594151141067</v>
      </c>
      <c r="H21" s="217">
        <f t="shared" si="0"/>
        <v>0.83525405848858936</v>
      </c>
      <c r="I21" s="927">
        <f t="shared" ref="I20:I51" si="7">E21-(D21*G21)</f>
        <v>2.6674323336521297</v>
      </c>
      <c r="J21" s="927">
        <f t="shared" si="1"/>
        <v>13.52375458834787</v>
      </c>
      <c r="K21" s="217">
        <f t="shared" si="2"/>
        <v>2.4006891002869168</v>
      </c>
      <c r="L21" s="217">
        <f t="shared" si="3"/>
        <v>2.9341755670173431</v>
      </c>
      <c r="M21" s="217">
        <f t="shared" si="4"/>
        <v>12.171379129513083</v>
      </c>
      <c r="N21" s="217">
        <f t="shared" si="5"/>
        <v>14.876130047182658</v>
      </c>
      <c r="O21">
        <v>1</v>
      </c>
      <c r="P21">
        <v>1</v>
      </c>
      <c r="Q21">
        <v>2</v>
      </c>
      <c r="R21">
        <v>2</v>
      </c>
      <c r="S21">
        <v>2</v>
      </c>
    </row>
    <row r="22" spans="1:20">
      <c r="A22" s="895" t="s">
        <v>180</v>
      </c>
      <c r="B22" s="895">
        <v>2011</v>
      </c>
      <c r="C22" s="895" t="s">
        <v>95</v>
      </c>
      <c r="D22" s="217">
        <v>18.619256870000001</v>
      </c>
      <c r="E22" s="217">
        <v>10.32585832</v>
      </c>
      <c r="F22" s="217">
        <v>35.543951159999999</v>
      </c>
      <c r="G22" s="217">
        <f t="shared" si="6"/>
        <v>0.22511230016122577</v>
      </c>
      <c r="H22" s="217">
        <f t="shared" si="0"/>
        <v>0.77488769983877426</v>
      </c>
      <c r="I22" s="927">
        <f t="shared" si="7"/>
        <v>6.1344345787015948</v>
      </c>
      <c r="J22" s="927">
        <f t="shared" si="1"/>
        <v>21.116118031298402</v>
      </c>
      <c r="K22" s="217">
        <f t="shared" si="2"/>
        <v>5.5209911208314351</v>
      </c>
      <c r="L22" s="217">
        <f t="shared" si="3"/>
        <v>6.7478780365717546</v>
      </c>
      <c r="M22" s="217">
        <f t="shared" si="4"/>
        <v>19.004506228168562</v>
      </c>
      <c r="N22" s="217">
        <f t="shared" si="5"/>
        <v>23.227729834428246</v>
      </c>
      <c r="O22">
        <v>1</v>
      </c>
      <c r="P22">
        <v>1</v>
      </c>
      <c r="Q22">
        <v>2</v>
      </c>
      <c r="R22">
        <v>2</v>
      </c>
      <c r="S22">
        <v>2</v>
      </c>
    </row>
    <row r="23" spans="1:20">
      <c r="A23" s="895" t="s">
        <v>180</v>
      </c>
      <c r="B23" s="895">
        <v>2011</v>
      </c>
      <c r="C23" s="895" t="s">
        <v>91</v>
      </c>
      <c r="D23" s="217">
        <v>78.517591150000001</v>
      </c>
      <c r="E23" s="217">
        <v>28.333257830000001</v>
      </c>
      <c r="F23" s="217">
        <v>165.93556570000001</v>
      </c>
      <c r="G23" s="217">
        <f t="shared" si="6"/>
        <v>0.14584562419828845</v>
      </c>
      <c r="H23" s="217">
        <f t="shared" si="0"/>
        <v>0.85415437580171161</v>
      </c>
      <c r="I23" s="927">
        <f t="shared" si="7"/>
        <v>16.881810738182242</v>
      </c>
      <c r="J23" s="927">
        <f t="shared" si="1"/>
        <v>98.869421641817766</v>
      </c>
      <c r="K23" s="217">
        <f t="shared" si="2"/>
        <v>15.193629664364018</v>
      </c>
      <c r="L23" s="217">
        <f t="shared" si="3"/>
        <v>18.569991812000467</v>
      </c>
      <c r="M23" s="217">
        <f t="shared" si="4"/>
        <v>88.982479477635991</v>
      </c>
      <c r="N23" s="217">
        <f t="shared" si="5"/>
        <v>108.75636380599956</v>
      </c>
      <c r="O23">
        <v>1</v>
      </c>
      <c r="P23">
        <v>1</v>
      </c>
      <c r="Q23">
        <v>2</v>
      </c>
      <c r="R23">
        <v>2</v>
      </c>
      <c r="S23">
        <v>2</v>
      </c>
    </row>
    <row r="24" spans="1:20">
      <c r="A24" s="895" t="s">
        <v>180</v>
      </c>
      <c r="B24" s="895">
        <v>2011</v>
      </c>
      <c r="C24" s="895" t="s">
        <v>93</v>
      </c>
      <c r="D24" s="217">
        <v>16.158205450000001</v>
      </c>
      <c r="E24" s="217">
        <v>7.3596634700000001</v>
      </c>
      <c r="F24" s="217">
        <v>18.855066050000001</v>
      </c>
      <c r="G24" s="217">
        <f t="shared" si="6"/>
        <v>0.2807453521267535</v>
      </c>
      <c r="H24" s="217">
        <f t="shared" si="0"/>
        <v>0.71925464787324644</v>
      </c>
      <c r="I24" s="927">
        <f t="shared" si="7"/>
        <v>2.8233223912033223</v>
      </c>
      <c r="J24" s="927">
        <f t="shared" si="1"/>
        <v>7.2332016787966786</v>
      </c>
      <c r="K24" s="217">
        <f t="shared" si="2"/>
        <v>2.5409901520829901</v>
      </c>
      <c r="L24" s="217">
        <f t="shared" si="3"/>
        <v>3.105654630323655</v>
      </c>
      <c r="M24" s="217">
        <f t="shared" si="4"/>
        <v>6.5098815109170109</v>
      </c>
      <c r="N24" s="217">
        <f t="shared" si="5"/>
        <v>7.9565218466763472</v>
      </c>
      <c r="O24">
        <v>1</v>
      </c>
      <c r="P24">
        <v>1</v>
      </c>
      <c r="Q24">
        <v>2</v>
      </c>
      <c r="R24">
        <v>2</v>
      </c>
      <c r="S24">
        <v>2</v>
      </c>
    </row>
    <row r="25" spans="1:20">
      <c r="A25" s="895" t="s">
        <v>180</v>
      </c>
      <c r="B25" s="895">
        <v>2011</v>
      </c>
      <c r="C25" s="895" t="s">
        <v>90</v>
      </c>
      <c r="D25" s="217">
        <v>10.16148924</v>
      </c>
      <c r="E25" s="217">
        <v>4.4250242220000002</v>
      </c>
      <c r="F25" s="217">
        <v>12.144934279999999</v>
      </c>
      <c r="G25" s="217">
        <f t="shared" si="6"/>
        <v>0.26705101412691518</v>
      </c>
      <c r="H25" s="217">
        <f t="shared" si="0"/>
        <v>0.73294898587308488</v>
      </c>
      <c r="I25" s="927">
        <f t="shared" si="7"/>
        <v>1.7113882154182636</v>
      </c>
      <c r="J25" s="927">
        <f t="shared" si="1"/>
        <v>4.6970810465817356</v>
      </c>
      <c r="K25" s="217">
        <f t="shared" si="2"/>
        <v>1.5402493938764372</v>
      </c>
      <c r="L25" s="217">
        <f t="shared" si="3"/>
        <v>1.8825270369600902</v>
      </c>
      <c r="M25" s="217">
        <f t="shared" si="4"/>
        <v>4.2273729419235622</v>
      </c>
      <c r="N25" s="217">
        <f t="shared" si="5"/>
        <v>5.16678915123991</v>
      </c>
      <c r="O25">
        <v>1</v>
      </c>
      <c r="P25">
        <v>1</v>
      </c>
      <c r="Q25">
        <v>2</v>
      </c>
      <c r="R25">
        <v>2</v>
      </c>
      <c r="S25">
        <v>2</v>
      </c>
    </row>
    <row r="26" spans="1:20">
      <c r="A26" s="895" t="s">
        <v>180</v>
      </c>
      <c r="B26" s="895">
        <v>2011</v>
      </c>
      <c r="C26" s="895" t="s">
        <v>92</v>
      </c>
      <c r="D26" s="217">
        <v>18.036622099999999</v>
      </c>
      <c r="E26" s="217">
        <v>5.3007882210000004</v>
      </c>
      <c r="F26" s="217">
        <v>25.408375240000002</v>
      </c>
      <c r="G26" s="217">
        <f t="shared" si="6"/>
        <v>0.1726125893247431</v>
      </c>
      <c r="H26" s="217">
        <f t="shared" si="0"/>
        <v>0.8273874106752569</v>
      </c>
      <c r="I26" s="927">
        <f t="shared" si="7"/>
        <v>2.1874401776471148</v>
      </c>
      <c r="J26" s="927">
        <f t="shared" si="1"/>
        <v>10.485101183352889</v>
      </c>
      <c r="K26" s="217">
        <f t="shared" si="2"/>
        <v>1.9686961598824033</v>
      </c>
      <c r="L26" s="217">
        <f t="shared" si="3"/>
        <v>2.4061841954118264</v>
      </c>
      <c r="M26" s="217">
        <f t="shared" si="4"/>
        <v>9.4365910650176001</v>
      </c>
      <c r="N26" s="217">
        <f t="shared" si="5"/>
        <v>11.533611301688179</v>
      </c>
      <c r="O26">
        <v>1</v>
      </c>
      <c r="P26">
        <v>1</v>
      </c>
      <c r="Q26">
        <v>2</v>
      </c>
      <c r="R26">
        <v>2</v>
      </c>
      <c r="S26">
        <v>2</v>
      </c>
    </row>
    <row r="27" spans="1:20">
      <c r="A27" s="895" t="s">
        <v>180</v>
      </c>
      <c r="B27" s="895">
        <v>2012</v>
      </c>
      <c r="C27" s="895" t="s">
        <v>99</v>
      </c>
      <c r="D27" s="217">
        <v>5.2640174660000003</v>
      </c>
      <c r="E27" s="217">
        <v>2.8814270849999999</v>
      </c>
      <c r="F27" s="217">
        <v>11.6254262</v>
      </c>
      <c r="G27" s="217">
        <f t="shared" si="6"/>
        <v>0.19862523101266755</v>
      </c>
      <c r="H27" s="217">
        <f t="shared" si="0"/>
        <v>0.80137476898733251</v>
      </c>
      <c r="I27" s="927">
        <f t="shared" si="7"/>
        <v>1.835860399761033</v>
      </c>
      <c r="J27" s="927">
        <f t="shared" si="1"/>
        <v>7.4069754192389663</v>
      </c>
      <c r="K27" s="217">
        <f t="shared" si="2"/>
        <v>1.6522743597849296</v>
      </c>
      <c r="L27" s="217">
        <f t="shared" si="3"/>
        <v>2.0194464397371363</v>
      </c>
      <c r="M27" s="217">
        <f t="shared" si="4"/>
        <v>6.6662778773150695</v>
      </c>
      <c r="N27" s="217">
        <f t="shared" si="5"/>
        <v>8.1476729611628631</v>
      </c>
      <c r="O27">
        <v>1</v>
      </c>
      <c r="P27">
        <v>1</v>
      </c>
      <c r="Q27">
        <v>2</v>
      </c>
      <c r="R27">
        <v>2</v>
      </c>
      <c r="S27">
        <v>2</v>
      </c>
    </row>
    <row r="28" spans="1:20">
      <c r="A28" s="895" t="s">
        <v>180</v>
      </c>
      <c r="B28" s="895">
        <v>2012</v>
      </c>
      <c r="C28" s="895" t="s">
        <v>98</v>
      </c>
      <c r="D28" s="217">
        <v>14.175025890000001</v>
      </c>
      <c r="E28" s="217">
        <v>4.6584762240000002</v>
      </c>
      <c r="F28" s="217">
        <v>22.082020279999998</v>
      </c>
      <c r="G28" s="217">
        <f t="shared" si="6"/>
        <v>0.17421053581795529</v>
      </c>
      <c r="H28" s="217">
        <f t="shared" si="0"/>
        <v>0.82578946418204469</v>
      </c>
      <c r="I28" s="927">
        <f t="shared" si="7"/>
        <v>2.1890373684697115</v>
      </c>
      <c r="J28" s="927">
        <f t="shared" si="1"/>
        <v>10.376433245530286</v>
      </c>
      <c r="K28" s="217">
        <f t="shared" si="2"/>
        <v>1.9701336316227405</v>
      </c>
      <c r="L28" s="217">
        <f t="shared" si="3"/>
        <v>2.407941105316683</v>
      </c>
      <c r="M28" s="217">
        <f t="shared" si="4"/>
        <v>9.3387899209772574</v>
      </c>
      <c r="N28" s="217">
        <f t="shared" si="5"/>
        <v>11.414076570083315</v>
      </c>
      <c r="O28">
        <v>1</v>
      </c>
      <c r="P28">
        <v>1</v>
      </c>
      <c r="Q28">
        <v>2</v>
      </c>
      <c r="R28">
        <v>2</v>
      </c>
      <c r="S28">
        <v>2</v>
      </c>
    </row>
    <row r="29" spans="1:20">
      <c r="A29" s="895" t="s">
        <v>180</v>
      </c>
      <c r="B29" s="895">
        <v>2012</v>
      </c>
      <c r="C29" s="895" t="s">
        <v>95</v>
      </c>
      <c r="D29" s="217">
        <v>13.247093</v>
      </c>
      <c r="E29" s="217">
        <v>8.7461496990000001</v>
      </c>
      <c r="F29" s="217">
        <v>25.704587830000001</v>
      </c>
      <c r="G29" s="217">
        <f t="shared" si="6"/>
        <v>0.25387409171248226</v>
      </c>
      <c r="H29" s="217">
        <f t="shared" si="0"/>
        <v>0.74612590828751779</v>
      </c>
      <c r="I29" s="927">
        <f t="shared" si="7"/>
        <v>5.3830559957942183</v>
      </c>
      <c r="J29" s="927">
        <f t="shared" si="1"/>
        <v>15.820588533205783</v>
      </c>
      <c r="K29" s="217">
        <f t="shared" si="2"/>
        <v>4.8447503962147964</v>
      </c>
      <c r="L29" s="217">
        <f t="shared" si="3"/>
        <v>5.9213615953736403</v>
      </c>
      <c r="M29" s="217">
        <f t="shared" si="4"/>
        <v>14.238529679885204</v>
      </c>
      <c r="N29" s="217">
        <f t="shared" si="5"/>
        <v>17.402647386526361</v>
      </c>
      <c r="O29">
        <v>1</v>
      </c>
      <c r="P29">
        <v>1</v>
      </c>
      <c r="Q29">
        <v>2</v>
      </c>
      <c r="R29">
        <v>2</v>
      </c>
      <c r="S29">
        <v>2</v>
      </c>
    </row>
    <row r="30" spans="1:20">
      <c r="A30" s="895" t="s">
        <v>180</v>
      </c>
      <c r="B30" s="895">
        <v>2012</v>
      </c>
      <c r="C30" s="895" t="s">
        <v>91</v>
      </c>
      <c r="D30" s="217">
        <v>71.02216919</v>
      </c>
      <c r="E30" s="217">
        <v>29.016421959999999</v>
      </c>
      <c r="F30" s="217">
        <v>151.22031179999999</v>
      </c>
      <c r="G30" s="217">
        <f t="shared" si="6"/>
        <v>0.16099061137358239</v>
      </c>
      <c r="H30" s="217">
        <f t="shared" si="0"/>
        <v>0.83900938862641761</v>
      </c>
      <c r="I30" s="927">
        <f t="shared" si="7"/>
        <v>17.58251952102389</v>
      </c>
      <c r="J30" s="927">
        <f t="shared" si="1"/>
        <v>91.632045048976096</v>
      </c>
      <c r="K30" s="217">
        <f t="shared" si="2"/>
        <v>15.824267568921501</v>
      </c>
      <c r="L30" s="217">
        <f t="shared" si="3"/>
        <v>19.340771473126281</v>
      </c>
      <c r="M30" s="217">
        <f t="shared" si="4"/>
        <v>82.468840544078489</v>
      </c>
      <c r="N30" s="217">
        <f t="shared" si="5"/>
        <v>100.79524955387372</v>
      </c>
      <c r="O30">
        <v>1</v>
      </c>
      <c r="P30">
        <v>1</v>
      </c>
      <c r="Q30">
        <v>2</v>
      </c>
      <c r="R30">
        <v>2</v>
      </c>
      <c r="S30">
        <v>2</v>
      </c>
    </row>
    <row r="31" spans="1:20">
      <c r="A31" s="895" t="s">
        <v>180</v>
      </c>
      <c r="B31" s="895">
        <v>2012</v>
      </c>
      <c r="C31" s="895" t="s">
        <v>93</v>
      </c>
      <c r="D31" s="217">
        <v>14.5388096</v>
      </c>
      <c r="E31" s="217">
        <v>6.9357768960000001</v>
      </c>
      <c r="F31" s="217">
        <v>16.410014790000002</v>
      </c>
      <c r="G31" s="217">
        <f t="shared" si="6"/>
        <v>0.29708895672873004</v>
      </c>
      <c r="H31" s="217">
        <f t="shared" si="0"/>
        <v>0.70291104327126996</v>
      </c>
      <c r="I31" s="927">
        <f t="shared" si="7"/>
        <v>2.6164571198583548</v>
      </c>
      <c r="J31" s="927">
        <f t="shared" si="1"/>
        <v>6.1905249661416466</v>
      </c>
      <c r="K31" s="217">
        <f t="shared" si="2"/>
        <v>2.3548114078725195</v>
      </c>
      <c r="L31" s="217">
        <f t="shared" si="3"/>
        <v>2.8781028318441906</v>
      </c>
      <c r="M31" s="217">
        <f t="shared" si="4"/>
        <v>5.5714724695274818</v>
      </c>
      <c r="N31" s="217">
        <f t="shared" si="5"/>
        <v>6.8095774627558114</v>
      </c>
      <c r="O31">
        <v>1</v>
      </c>
      <c r="P31">
        <v>1</v>
      </c>
      <c r="Q31">
        <v>2</v>
      </c>
      <c r="R31">
        <v>2</v>
      </c>
      <c r="S31">
        <v>2</v>
      </c>
    </row>
    <row r="32" spans="1:20">
      <c r="A32" s="895" t="s">
        <v>180</v>
      </c>
      <c r="B32" s="895">
        <v>2012</v>
      </c>
      <c r="C32" s="895" t="s">
        <v>90</v>
      </c>
      <c r="D32" s="217">
        <v>9.1850493360000005</v>
      </c>
      <c r="E32" s="217">
        <v>4.1764702399999996</v>
      </c>
      <c r="F32" s="217">
        <v>10.55823487</v>
      </c>
      <c r="G32" s="217">
        <f t="shared" si="6"/>
        <v>0.2834444401038983</v>
      </c>
      <c r="H32" s="217">
        <f t="shared" si="0"/>
        <v>0.71655555989610176</v>
      </c>
      <c r="I32" s="927">
        <f t="shared" si="7"/>
        <v>1.5730190736307965</v>
      </c>
      <c r="J32" s="927">
        <f t="shared" si="1"/>
        <v>3.9766367003692018</v>
      </c>
      <c r="K32" s="217">
        <f t="shared" si="2"/>
        <v>1.4157171662677168</v>
      </c>
      <c r="L32" s="217">
        <f t="shared" si="3"/>
        <v>1.7303209809938762</v>
      </c>
      <c r="M32" s="217">
        <f t="shared" si="4"/>
        <v>3.5789730303322815</v>
      </c>
      <c r="N32" s="217">
        <f t="shared" si="5"/>
        <v>4.3743003704061225</v>
      </c>
      <c r="O32">
        <v>1</v>
      </c>
      <c r="P32">
        <v>1</v>
      </c>
      <c r="Q32">
        <v>2</v>
      </c>
      <c r="R32">
        <v>2</v>
      </c>
      <c r="S32">
        <v>2</v>
      </c>
    </row>
    <row r="33" spans="1:19">
      <c r="A33" s="895" t="s">
        <v>180</v>
      </c>
      <c r="B33" s="895">
        <v>2012</v>
      </c>
      <c r="C33" s="895" t="s">
        <v>92</v>
      </c>
      <c r="D33" s="217">
        <v>16.823204310000001</v>
      </c>
      <c r="E33" s="217">
        <v>5.0060553399999996</v>
      </c>
      <c r="F33" s="217">
        <v>22.08549344</v>
      </c>
      <c r="G33" s="217">
        <f t="shared" si="6"/>
        <v>0.18478291443033548</v>
      </c>
      <c r="H33" s="217">
        <f t="shared" si="0"/>
        <v>0.81521708556966455</v>
      </c>
      <c r="I33" s="927">
        <f t="shared" si="7"/>
        <v>1.8974146175412185</v>
      </c>
      <c r="J33" s="927">
        <f t="shared" si="1"/>
        <v>8.3709298524587794</v>
      </c>
      <c r="K33" s="217">
        <f t="shared" si="2"/>
        <v>1.7076731557870968</v>
      </c>
      <c r="L33" s="217">
        <f t="shared" si="3"/>
        <v>2.0871560792953407</v>
      </c>
      <c r="M33" s="217">
        <f t="shared" si="4"/>
        <v>7.5338368672129015</v>
      </c>
      <c r="N33" s="217">
        <f t="shared" si="5"/>
        <v>9.2080228377046573</v>
      </c>
      <c r="O33">
        <v>1</v>
      </c>
      <c r="P33">
        <v>1</v>
      </c>
      <c r="Q33">
        <v>2</v>
      </c>
      <c r="R33">
        <v>2</v>
      </c>
      <c r="S33">
        <v>2</v>
      </c>
    </row>
    <row r="34" spans="1:19">
      <c r="A34" s="895" t="s">
        <v>180</v>
      </c>
      <c r="B34" s="895">
        <v>2013</v>
      </c>
      <c r="C34" s="895" t="s">
        <v>99</v>
      </c>
      <c r="D34" s="217">
        <v>7.0791820760000004</v>
      </c>
      <c r="E34" s="217">
        <v>3.0614866909999998</v>
      </c>
      <c r="F34" s="217">
        <v>13.75505044</v>
      </c>
      <c r="G34" s="217">
        <f t="shared" si="6"/>
        <v>0.18205214707113412</v>
      </c>
      <c r="H34" s="217">
        <f t="shared" si="0"/>
        <v>0.81794785292886585</v>
      </c>
      <c r="I34" s="927">
        <f t="shared" si="7"/>
        <v>1.7727063945567112</v>
      </c>
      <c r="J34" s="927">
        <f t="shared" si="1"/>
        <v>7.964648660443288</v>
      </c>
      <c r="K34" s="217">
        <f t="shared" si="2"/>
        <v>1.5954357551010401</v>
      </c>
      <c r="L34" s="217">
        <f t="shared" si="3"/>
        <v>1.9499770340123825</v>
      </c>
      <c r="M34" s="217">
        <f t="shared" si="4"/>
        <v>7.168183794398959</v>
      </c>
      <c r="N34" s="217">
        <f t="shared" si="5"/>
        <v>8.7611135264876179</v>
      </c>
      <c r="O34">
        <v>1</v>
      </c>
      <c r="P34">
        <v>1</v>
      </c>
      <c r="Q34">
        <v>2</v>
      </c>
      <c r="R34">
        <v>2</v>
      </c>
      <c r="S34">
        <v>2</v>
      </c>
    </row>
    <row r="35" spans="1:19">
      <c r="A35" s="895" t="s">
        <v>180</v>
      </c>
      <c r="B35" s="895">
        <v>2013</v>
      </c>
      <c r="C35" s="895" t="s">
        <v>98</v>
      </c>
      <c r="D35" s="217">
        <v>15.97068258</v>
      </c>
      <c r="E35" s="217">
        <v>4.9979292949999996</v>
      </c>
      <c r="F35" s="217">
        <v>26.373243429999999</v>
      </c>
      <c r="G35" s="217">
        <f t="shared" si="6"/>
        <v>0.15931598537332015</v>
      </c>
      <c r="H35" s="217">
        <f t="shared" si="0"/>
        <v>0.84068401462667985</v>
      </c>
      <c r="I35" s="927">
        <f t="shared" si="7"/>
        <v>2.4535442626827808</v>
      </c>
      <c r="J35" s="927">
        <f t="shared" si="1"/>
        <v>12.946945882317218</v>
      </c>
      <c r="K35" s="217">
        <f t="shared" si="2"/>
        <v>2.2081898364145029</v>
      </c>
      <c r="L35" s="217">
        <f t="shared" si="3"/>
        <v>2.6988986889510591</v>
      </c>
      <c r="M35" s="217">
        <f t="shared" si="4"/>
        <v>11.652251294085497</v>
      </c>
      <c r="N35" s="217">
        <f t="shared" si="5"/>
        <v>14.241640470548941</v>
      </c>
      <c r="O35">
        <v>1</v>
      </c>
      <c r="P35">
        <v>1</v>
      </c>
      <c r="Q35">
        <v>2</v>
      </c>
      <c r="R35">
        <v>2</v>
      </c>
      <c r="S35">
        <v>2</v>
      </c>
    </row>
    <row r="36" spans="1:19">
      <c r="A36" s="895" t="s">
        <v>180</v>
      </c>
      <c r="B36" s="895">
        <v>2013</v>
      </c>
      <c r="C36" s="895" t="s">
        <v>95</v>
      </c>
      <c r="D36" s="217">
        <v>16.03556489</v>
      </c>
      <c r="E36" s="217">
        <v>9.2648735490000007</v>
      </c>
      <c r="F36" s="217">
        <v>29.860490800000001</v>
      </c>
      <c r="G36" s="217">
        <f t="shared" si="6"/>
        <v>0.23679967466518431</v>
      </c>
      <c r="H36" s="217">
        <f t="shared" si="0"/>
        <v>0.76320032533481563</v>
      </c>
      <c r="I36" s="927">
        <f t="shared" si="7"/>
        <v>5.4676569999755493</v>
      </c>
      <c r="J36" s="927">
        <f t="shared" si="1"/>
        <v>17.622142459024452</v>
      </c>
      <c r="K36" s="217">
        <f t="shared" si="2"/>
        <v>4.9208912999779946</v>
      </c>
      <c r="L36" s="217">
        <f t="shared" si="3"/>
        <v>6.014422699973105</v>
      </c>
      <c r="M36" s="217">
        <f t="shared" si="4"/>
        <v>15.859928213122007</v>
      </c>
      <c r="N36" s="217">
        <f t="shared" si="5"/>
        <v>19.384356704926898</v>
      </c>
      <c r="O36">
        <v>1</v>
      </c>
      <c r="P36">
        <v>1</v>
      </c>
      <c r="Q36">
        <v>2</v>
      </c>
      <c r="R36">
        <v>2</v>
      </c>
      <c r="S36">
        <v>2</v>
      </c>
    </row>
    <row r="37" spans="1:19">
      <c r="A37" s="895" t="s">
        <v>180</v>
      </c>
      <c r="B37" s="895">
        <v>2013</v>
      </c>
      <c r="C37" s="895" t="s">
        <v>91</v>
      </c>
      <c r="D37" s="217">
        <v>86.517840129999996</v>
      </c>
      <c r="E37" s="217">
        <v>32.047845940000002</v>
      </c>
      <c r="F37" s="217">
        <v>176.01498960000001</v>
      </c>
      <c r="G37" s="217">
        <f t="shared" si="6"/>
        <v>0.15402965097934954</v>
      </c>
      <c r="H37" s="217">
        <f t="shared" si="0"/>
        <v>0.84597034902065049</v>
      </c>
      <c r="I37" s="927">
        <f t="shared" si="7"/>
        <v>18.721533221288944</v>
      </c>
      <c r="J37" s="927">
        <f t="shared" si="1"/>
        <v>102.82346218871106</v>
      </c>
      <c r="K37" s="217">
        <f t="shared" si="2"/>
        <v>16.849379899160049</v>
      </c>
      <c r="L37" s="217">
        <f t="shared" si="3"/>
        <v>20.593686543417839</v>
      </c>
      <c r="M37" s="217">
        <f t="shared" si="4"/>
        <v>92.541115969839964</v>
      </c>
      <c r="N37" s="217">
        <f t="shared" si="5"/>
        <v>113.10580840758217</v>
      </c>
      <c r="O37">
        <v>1</v>
      </c>
      <c r="P37">
        <v>1</v>
      </c>
      <c r="Q37">
        <v>2</v>
      </c>
      <c r="R37">
        <v>2</v>
      </c>
      <c r="S37">
        <v>2</v>
      </c>
    </row>
    <row r="38" spans="1:19">
      <c r="A38" s="895" t="s">
        <v>180</v>
      </c>
      <c r="B38" s="895">
        <v>2013</v>
      </c>
      <c r="C38" s="895" t="s">
        <v>93</v>
      </c>
      <c r="D38" s="217">
        <v>16.060460150000001</v>
      </c>
      <c r="E38" s="217">
        <v>7.3957083450000001</v>
      </c>
      <c r="F38" s="217">
        <v>17.78924628</v>
      </c>
      <c r="G38" s="217">
        <f t="shared" si="6"/>
        <v>0.29365581376345246</v>
      </c>
      <c r="H38" s="217">
        <f t="shared" si="0"/>
        <v>0.7063441862365476</v>
      </c>
      <c r="I38" s="927">
        <f t="shared" si="7"/>
        <v>2.67946085023625</v>
      </c>
      <c r="J38" s="927">
        <f t="shared" si="1"/>
        <v>6.4450336247637487</v>
      </c>
      <c r="K38" s="217">
        <f t="shared" si="2"/>
        <v>2.4115147652126252</v>
      </c>
      <c r="L38" s="217">
        <f t="shared" si="3"/>
        <v>2.9474069352598753</v>
      </c>
      <c r="M38" s="217">
        <f t="shared" si="4"/>
        <v>5.8005302622873742</v>
      </c>
      <c r="N38" s="217">
        <f t="shared" si="5"/>
        <v>7.0895369872401242</v>
      </c>
      <c r="O38">
        <v>1</v>
      </c>
      <c r="P38">
        <v>1</v>
      </c>
      <c r="Q38">
        <v>2</v>
      </c>
      <c r="R38">
        <v>2</v>
      </c>
      <c r="S38">
        <v>2</v>
      </c>
    </row>
    <row r="39" spans="1:19">
      <c r="A39" s="895" t="s">
        <v>180</v>
      </c>
      <c r="B39" s="895">
        <v>2013</v>
      </c>
      <c r="C39" s="895" t="s">
        <v>90</v>
      </c>
      <c r="D39" s="217">
        <v>10.15769553</v>
      </c>
      <c r="E39" s="217">
        <v>4.4761625479999996</v>
      </c>
      <c r="F39" s="217">
        <v>11.52437542</v>
      </c>
      <c r="G39" s="217">
        <f t="shared" si="6"/>
        <v>0.27975075319042547</v>
      </c>
      <c r="H39" s="217">
        <f t="shared" si="0"/>
        <v>0.72024924680957447</v>
      </c>
      <c r="I39" s="927">
        <f t="shared" si="7"/>
        <v>1.6345395728034817</v>
      </c>
      <c r="J39" s="927">
        <f t="shared" si="1"/>
        <v>4.2083028651965186</v>
      </c>
      <c r="K39" s="217">
        <f t="shared" si="2"/>
        <v>1.4710856155231335</v>
      </c>
      <c r="L39" s="217">
        <f t="shared" si="3"/>
        <v>1.7979935300838301</v>
      </c>
      <c r="M39" s="217">
        <f t="shared" si="4"/>
        <v>3.787472578676867</v>
      </c>
      <c r="N39" s="217">
        <f t="shared" si="5"/>
        <v>4.6291331517161707</v>
      </c>
      <c r="O39">
        <v>1</v>
      </c>
      <c r="P39">
        <v>1</v>
      </c>
      <c r="Q39">
        <v>2</v>
      </c>
      <c r="R39">
        <v>2</v>
      </c>
      <c r="S39">
        <v>2</v>
      </c>
    </row>
    <row r="40" spans="1:19">
      <c r="A40" s="895" t="s">
        <v>180</v>
      </c>
      <c r="B40" s="895">
        <v>2013</v>
      </c>
      <c r="C40" s="895" t="s">
        <v>92</v>
      </c>
      <c r="D40" s="217">
        <v>18.870301940000001</v>
      </c>
      <c r="E40" s="217">
        <v>5.5593733670000001</v>
      </c>
      <c r="F40" s="217">
        <v>25.210982940000001</v>
      </c>
      <c r="G40" s="217">
        <f t="shared" si="6"/>
        <v>0.18067302541229557</v>
      </c>
      <c r="H40" s="217">
        <f t="shared" si="0"/>
        <v>0.81932697458770443</v>
      </c>
      <c r="I40" s="927">
        <f t="shared" si="7"/>
        <v>2.1500188250566894</v>
      </c>
      <c r="J40" s="927">
        <f t="shared" si="1"/>
        <v>9.7500355419433102</v>
      </c>
      <c r="K40" s="217">
        <f t="shared" si="2"/>
        <v>1.9350169425510204</v>
      </c>
      <c r="L40" s="217">
        <f t="shared" si="3"/>
        <v>2.3650207075623584</v>
      </c>
      <c r="M40" s="217">
        <f t="shared" si="4"/>
        <v>8.7750319877489797</v>
      </c>
      <c r="N40" s="217">
        <f t="shared" si="5"/>
        <v>10.725039096137643</v>
      </c>
      <c r="O40">
        <v>1</v>
      </c>
      <c r="P40">
        <v>1</v>
      </c>
      <c r="Q40">
        <v>2</v>
      </c>
      <c r="R40">
        <v>2</v>
      </c>
      <c r="S40">
        <v>2</v>
      </c>
    </row>
    <row r="41" spans="1:19">
      <c r="A41" s="895" t="s">
        <v>180</v>
      </c>
      <c r="B41" s="895">
        <v>2014</v>
      </c>
      <c r="C41" s="895" t="s">
        <v>99</v>
      </c>
      <c r="D41" s="217">
        <v>10.43662456</v>
      </c>
      <c r="E41" s="217">
        <v>3.3916552969999998</v>
      </c>
      <c r="F41" s="217">
        <v>17.677083199999998</v>
      </c>
      <c r="G41" s="217">
        <f t="shared" si="6"/>
        <v>0.16098046389834594</v>
      </c>
      <c r="H41" s="217">
        <f t="shared" si="0"/>
        <v>0.83901953610165403</v>
      </c>
      <c r="I41" s="927">
        <f t="shared" si="7"/>
        <v>1.7115626337983292</v>
      </c>
      <c r="J41" s="927">
        <f t="shared" si="1"/>
        <v>8.9205513032016697</v>
      </c>
      <c r="K41" s="217">
        <f t="shared" si="2"/>
        <v>1.5404063704184963</v>
      </c>
      <c r="L41" s="217">
        <f t="shared" si="3"/>
        <v>1.8827188971781623</v>
      </c>
      <c r="M41" s="217">
        <f t="shared" si="4"/>
        <v>8.0284961728815034</v>
      </c>
      <c r="N41" s="217">
        <f t="shared" si="5"/>
        <v>9.8126064335218377</v>
      </c>
      <c r="O41">
        <v>1</v>
      </c>
      <c r="P41">
        <v>1</v>
      </c>
      <c r="Q41">
        <v>2</v>
      </c>
      <c r="R41">
        <v>2</v>
      </c>
      <c r="S41">
        <v>2</v>
      </c>
    </row>
    <row r="42" spans="1:19">
      <c r="A42" s="895" t="s">
        <v>180</v>
      </c>
      <c r="B42" s="895">
        <v>2014</v>
      </c>
      <c r="C42" s="895" t="s">
        <v>98</v>
      </c>
      <c r="D42" s="217">
        <v>18.84465441</v>
      </c>
      <c r="E42" s="217">
        <v>5.7503899299999999</v>
      </c>
      <c r="F42" s="217">
        <v>31.737233310000001</v>
      </c>
      <c r="G42" s="217">
        <f t="shared" si="6"/>
        <v>0.15339435880438068</v>
      </c>
      <c r="H42" s="217">
        <f t="shared" si="0"/>
        <v>0.84660564119561932</v>
      </c>
      <c r="I42" s="927">
        <f t="shared" si="7"/>
        <v>2.8597262498879052</v>
      </c>
      <c r="J42" s="927">
        <f t="shared" si="1"/>
        <v>15.783242580112095</v>
      </c>
      <c r="K42" s="217">
        <f t="shared" si="2"/>
        <v>2.5737536248991146</v>
      </c>
      <c r="L42" s="217">
        <f t="shared" si="3"/>
        <v>3.1456988748766959</v>
      </c>
      <c r="M42" s="217">
        <f t="shared" si="4"/>
        <v>14.204918322100886</v>
      </c>
      <c r="N42" s="217">
        <f t="shared" si="5"/>
        <v>17.361566838123306</v>
      </c>
      <c r="O42">
        <v>1</v>
      </c>
      <c r="P42">
        <v>1</v>
      </c>
      <c r="Q42">
        <v>2</v>
      </c>
      <c r="R42">
        <v>2</v>
      </c>
      <c r="S42">
        <v>2</v>
      </c>
    </row>
    <row r="43" spans="1:19">
      <c r="A43" s="895" t="s">
        <v>180</v>
      </c>
      <c r="B43" s="895">
        <v>2014</v>
      </c>
      <c r="C43" s="895" t="s">
        <v>95</v>
      </c>
      <c r="D43" s="217">
        <v>21.313565149999999</v>
      </c>
      <c r="E43" s="217">
        <v>10.46747573</v>
      </c>
      <c r="F43" s="217">
        <v>37.394253259999999</v>
      </c>
      <c r="G43" s="217">
        <f t="shared" si="6"/>
        <v>0.21870241528857062</v>
      </c>
      <c r="H43" s="217">
        <f t="shared" si="0"/>
        <v>0.7812975847114294</v>
      </c>
      <c r="I43" s="927">
        <f t="shared" si="7"/>
        <v>5.8061475532846947</v>
      </c>
      <c r="J43" s="927">
        <f t="shared" si="1"/>
        <v>20.742016286715305</v>
      </c>
      <c r="K43" s="217">
        <f t="shared" si="2"/>
        <v>5.2255327979562249</v>
      </c>
      <c r="L43" s="217">
        <f t="shared" si="3"/>
        <v>6.3867623086131644</v>
      </c>
      <c r="M43" s="217">
        <f t="shared" si="4"/>
        <v>18.667814658043774</v>
      </c>
      <c r="N43" s="217">
        <f t="shared" si="5"/>
        <v>22.816217915386837</v>
      </c>
      <c r="O43">
        <v>1</v>
      </c>
      <c r="P43">
        <v>1</v>
      </c>
      <c r="Q43">
        <v>2</v>
      </c>
      <c r="R43">
        <v>2</v>
      </c>
      <c r="S43">
        <v>2</v>
      </c>
    </row>
    <row r="44" spans="1:19">
      <c r="A44" s="895" t="s">
        <v>180</v>
      </c>
      <c r="B44" s="895">
        <v>2014</v>
      </c>
      <c r="C44" s="895" t="s">
        <v>91</v>
      </c>
      <c r="D44" s="217">
        <v>113.614777</v>
      </c>
      <c r="E44" s="217">
        <v>35.99111284</v>
      </c>
      <c r="F44" s="217">
        <v>216.2397374</v>
      </c>
      <c r="G44" s="217">
        <f t="shared" si="6"/>
        <v>0.14269116091768363</v>
      </c>
      <c r="H44" s="217">
        <f t="shared" si="0"/>
        <v>0.85730883908231637</v>
      </c>
      <c r="I44" s="927">
        <f t="shared" si="7"/>
        <v>19.779288412466258</v>
      </c>
      <c r="J44" s="927">
        <f t="shared" si="1"/>
        <v>118.83678482753373</v>
      </c>
      <c r="K44" s="217">
        <f t="shared" si="2"/>
        <v>17.801359571219631</v>
      </c>
      <c r="L44" s="217">
        <f t="shared" si="3"/>
        <v>21.757217253712884</v>
      </c>
      <c r="M44" s="217">
        <f t="shared" si="4"/>
        <v>106.95310634478037</v>
      </c>
      <c r="N44" s="217">
        <f t="shared" si="5"/>
        <v>130.72046331028713</v>
      </c>
      <c r="O44">
        <v>1</v>
      </c>
      <c r="P44">
        <v>1</v>
      </c>
      <c r="Q44">
        <v>2</v>
      </c>
      <c r="R44">
        <v>2</v>
      </c>
      <c r="S44">
        <v>2</v>
      </c>
    </row>
    <row r="45" spans="1:19">
      <c r="A45" s="895" t="s">
        <v>180</v>
      </c>
      <c r="B45" s="895">
        <v>2014</v>
      </c>
      <c r="C45" s="895" t="s">
        <v>93</v>
      </c>
      <c r="D45" s="217">
        <v>16.388617929999999</v>
      </c>
      <c r="E45" s="217">
        <v>8.0330004729999995</v>
      </c>
      <c r="F45" s="217">
        <v>19.173431069999999</v>
      </c>
      <c r="G45" s="217">
        <f t="shared" si="6"/>
        <v>0.2952610841412176</v>
      </c>
      <c r="H45" s="217">
        <f t="shared" si="0"/>
        <v>0.70473891585878246</v>
      </c>
      <c r="I45" s="927">
        <f t="shared" si="7"/>
        <v>3.1940793754120023</v>
      </c>
      <c r="J45" s="927">
        <f t="shared" si="1"/>
        <v>7.6237342375879962</v>
      </c>
      <c r="K45" s="217">
        <f t="shared" si="2"/>
        <v>2.874671437870802</v>
      </c>
      <c r="L45" s="217">
        <f t="shared" si="3"/>
        <v>3.5134873129532029</v>
      </c>
      <c r="M45" s="217">
        <f t="shared" si="4"/>
        <v>6.8613608138291964</v>
      </c>
      <c r="N45" s="217">
        <f t="shared" si="5"/>
        <v>8.3861076613467969</v>
      </c>
      <c r="O45">
        <v>1</v>
      </c>
      <c r="P45">
        <v>1</v>
      </c>
      <c r="Q45">
        <v>2</v>
      </c>
      <c r="R45">
        <v>2</v>
      </c>
      <c r="S45">
        <v>2</v>
      </c>
    </row>
    <row r="46" spans="1:19">
      <c r="A46" s="895" t="s">
        <v>180</v>
      </c>
      <c r="B46" s="895">
        <v>2014</v>
      </c>
      <c r="C46" s="895" t="s">
        <v>90</v>
      </c>
      <c r="D46" s="217">
        <v>10.446142999999999</v>
      </c>
      <c r="E46" s="217">
        <v>4.8833478570000004</v>
      </c>
      <c r="F46" s="217">
        <v>12.48289201</v>
      </c>
      <c r="G46" s="217">
        <f t="shared" si="6"/>
        <v>0.2811977661485332</v>
      </c>
      <c r="H46" s="217">
        <f t="shared" si="0"/>
        <v>0.7188022338514668</v>
      </c>
      <c r="I46" s="927">
        <f t="shared" si="7"/>
        <v>1.9459157805318634</v>
      </c>
      <c r="J46" s="927">
        <f t="shared" si="1"/>
        <v>4.9741810864681382</v>
      </c>
      <c r="K46" s="217">
        <f t="shared" si="2"/>
        <v>1.751324202478677</v>
      </c>
      <c r="L46" s="217">
        <f t="shared" si="3"/>
        <v>2.14050735858505</v>
      </c>
      <c r="M46" s="217">
        <f t="shared" si="4"/>
        <v>4.4767629778213243</v>
      </c>
      <c r="N46" s="217">
        <f t="shared" si="5"/>
        <v>5.4715991951149521</v>
      </c>
      <c r="O46">
        <v>1</v>
      </c>
      <c r="P46">
        <v>1</v>
      </c>
      <c r="Q46">
        <v>2</v>
      </c>
      <c r="R46">
        <v>2</v>
      </c>
      <c r="S46">
        <v>2</v>
      </c>
    </row>
    <row r="47" spans="1:19">
      <c r="A47" s="895" t="s">
        <v>180</v>
      </c>
      <c r="B47" s="895">
        <v>2014</v>
      </c>
      <c r="C47" s="895" t="s">
        <v>92</v>
      </c>
      <c r="D47" s="217">
        <v>20.470950930000001</v>
      </c>
      <c r="E47" s="217">
        <v>6.2244893729999999</v>
      </c>
      <c r="F47" s="217">
        <v>28.080355740000002</v>
      </c>
      <c r="G47" s="217">
        <f t="shared" si="6"/>
        <v>0.18144636282415971</v>
      </c>
      <c r="H47" s="217">
        <f t="shared" si="0"/>
        <v>0.81855363717584029</v>
      </c>
      <c r="I47" s="927">
        <f t="shared" si="7"/>
        <v>2.5101097831996499</v>
      </c>
      <c r="J47" s="927">
        <f t="shared" si="1"/>
        <v>11.323784399800349</v>
      </c>
      <c r="K47" s="217">
        <f t="shared" si="2"/>
        <v>2.259098804879685</v>
      </c>
      <c r="L47" s="217">
        <f t="shared" si="3"/>
        <v>2.7611207615196154</v>
      </c>
      <c r="M47" s="217">
        <f t="shared" si="4"/>
        <v>10.191405959820315</v>
      </c>
      <c r="N47" s="217">
        <f t="shared" si="5"/>
        <v>12.456162839780385</v>
      </c>
      <c r="O47">
        <v>1</v>
      </c>
      <c r="P47">
        <v>1</v>
      </c>
      <c r="Q47">
        <v>2</v>
      </c>
      <c r="R47">
        <v>2</v>
      </c>
      <c r="S47">
        <v>2</v>
      </c>
    </row>
    <row r="48" spans="1:19">
      <c r="A48" s="895" t="s">
        <v>180</v>
      </c>
      <c r="B48" s="895">
        <v>2015</v>
      </c>
      <c r="C48" s="895" t="s">
        <v>99</v>
      </c>
      <c r="D48" s="217">
        <v>7.6148640639999998</v>
      </c>
      <c r="E48" s="217">
        <v>2.8612299750000001</v>
      </c>
      <c r="F48" s="217">
        <v>15.481102010000001</v>
      </c>
      <c r="G48" s="217">
        <f t="shared" si="6"/>
        <v>0.15599052385159409</v>
      </c>
      <c r="H48" s="217">
        <f t="shared" si="0"/>
        <v>0.84400947614840593</v>
      </c>
      <c r="I48" s="927">
        <f t="shared" si="7"/>
        <v>1.6733833405979615</v>
      </c>
      <c r="J48" s="927">
        <f t="shared" si="1"/>
        <v>9.0540845804020407</v>
      </c>
      <c r="K48" s="217">
        <f t="shared" si="2"/>
        <v>1.5060450065381654</v>
      </c>
      <c r="L48" s="217">
        <f t="shared" si="3"/>
        <v>1.8407216746577577</v>
      </c>
      <c r="M48" s="217">
        <f t="shared" si="4"/>
        <v>8.1486761223618362</v>
      </c>
      <c r="N48" s="217">
        <f t="shared" si="5"/>
        <v>9.9594930384422451</v>
      </c>
      <c r="O48">
        <v>1</v>
      </c>
      <c r="P48">
        <v>1</v>
      </c>
      <c r="Q48">
        <v>2</v>
      </c>
      <c r="R48">
        <v>2</v>
      </c>
      <c r="S48">
        <v>2</v>
      </c>
    </row>
    <row r="49" spans="1:19">
      <c r="A49" s="895" t="s">
        <v>180</v>
      </c>
      <c r="B49" s="895">
        <v>2015</v>
      </c>
      <c r="C49" s="895" t="s">
        <v>98</v>
      </c>
      <c r="D49" s="217">
        <v>16.095346020000001</v>
      </c>
      <c r="E49" s="217">
        <v>5.2133125690000002</v>
      </c>
      <c r="F49" s="217">
        <v>28.91984428</v>
      </c>
      <c r="G49" s="217">
        <f t="shared" si="6"/>
        <v>0.15273455637469802</v>
      </c>
      <c r="H49" s="217">
        <f t="shared" si="0"/>
        <v>0.84726544362530198</v>
      </c>
      <c r="I49" s="927">
        <f t="shared" si="7"/>
        <v>2.7549970349380386</v>
      </c>
      <c r="J49" s="927">
        <f t="shared" si="1"/>
        <v>15.28281379406196</v>
      </c>
      <c r="K49" s="217">
        <f t="shared" si="2"/>
        <v>2.479497331444235</v>
      </c>
      <c r="L49" s="217">
        <f t="shared" si="3"/>
        <v>3.0304967384318426</v>
      </c>
      <c r="M49" s="217">
        <f t="shared" si="4"/>
        <v>13.754532414655765</v>
      </c>
      <c r="N49" s="217">
        <f t="shared" si="5"/>
        <v>16.811095173468157</v>
      </c>
      <c r="O49">
        <v>1</v>
      </c>
      <c r="P49">
        <v>1</v>
      </c>
      <c r="Q49">
        <v>2</v>
      </c>
      <c r="R49">
        <v>2</v>
      </c>
      <c r="S49">
        <v>2</v>
      </c>
    </row>
    <row r="50" spans="1:19">
      <c r="A50" s="895" t="s">
        <v>180</v>
      </c>
      <c r="B50" s="895">
        <v>2015</v>
      </c>
      <c r="C50" s="895" t="s">
        <v>95</v>
      </c>
      <c r="D50" s="217">
        <v>18.32504338</v>
      </c>
      <c r="E50" s="217">
        <v>9.3032460300000004</v>
      </c>
      <c r="F50" s="217">
        <v>34.434036740000003</v>
      </c>
      <c r="G50" s="217">
        <f t="shared" si="6"/>
        <v>0.21270745324812959</v>
      </c>
      <c r="H50" s="217">
        <f t="shared" si="0"/>
        <v>0.78729254675187044</v>
      </c>
      <c r="I50" s="927">
        <f t="shared" si="7"/>
        <v>5.4053727219787042</v>
      </c>
      <c r="J50" s="927">
        <f t="shared" si="1"/>
        <v>20.006866668021299</v>
      </c>
      <c r="K50" s="217">
        <f t="shared" si="2"/>
        <v>4.8648354497808342</v>
      </c>
      <c r="L50" s="217">
        <f t="shared" si="3"/>
        <v>5.9459099941765752</v>
      </c>
      <c r="M50" s="217">
        <f t="shared" si="4"/>
        <v>18.006180001219171</v>
      </c>
      <c r="N50" s="217">
        <f t="shared" si="5"/>
        <v>22.007553334823431</v>
      </c>
      <c r="O50">
        <v>1</v>
      </c>
      <c r="P50">
        <v>1</v>
      </c>
      <c r="Q50">
        <v>2</v>
      </c>
      <c r="R50">
        <v>2</v>
      </c>
      <c r="S50">
        <v>2</v>
      </c>
    </row>
    <row r="51" spans="1:19">
      <c r="A51" s="895" t="s">
        <v>180</v>
      </c>
      <c r="B51" s="895">
        <v>2015</v>
      </c>
      <c r="C51" s="895" t="s">
        <v>91</v>
      </c>
      <c r="D51" s="217">
        <v>94.786767929999996</v>
      </c>
      <c r="E51" s="217">
        <v>31.287310080000001</v>
      </c>
      <c r="F51" s="217">
        <v>198.16315019999999</v>
      </c>
      <c r="G51" s="217">
        <f t="shared" si="6"/>
        <v>0.13635758255537983</v>
      </c>
      <c r="H51" s="217">
        <f t="shared" si="0"/>
        <v>0.86364241744462023</v>
      </c>
      <c r="I51" s="927">
        <f t="shared" si="7"/>
        <v>18.3624155468274</v>
      </c>
      <c r="J51" s="927">
        <f t="shared" si="1"/>
        <v>116.3012768031726</v>
      </c>
      <c r="K51" s="217">
        <f t="shared" si="2"/>
        <v>16.52617399214466</v>
      </c>
      <c r="L51" s="217">
        <f t="shared" si="3"/>
        <v>20.19865710151014</v>
      </c>
      <c r="M51" s="217">
        <f t="shared" si="4"/>
        <v>104.67114912285534</v>
      </c>
      <c r="N51" s="217">
        <f t="shared" si="5"/>
        <v>127.93140448348987</v>
      </c>
      <c r="O51">
        <v>1</v>
      </c>
      <c r="P51">
        <v>1</v>
      </c>
      <c r="Q51">
        <v>2</v>
      </c>
      <c r="R51">
        <v>2</v>
      </c>
      <c r="S51">
        <v>2</v>
      </c>
    </row>
    <row r="52" spans="1:19">
      <c r="A52" s="895" t="s">
        <v>180</v>
      </c>
      <c r="B52" s="895">
        <v>2015</v>
      </c>
      <c r="C52" s="895" t="s">
        <v>93</v>
      </c>
      <c r="D52" s="217">
        <v>14.50195357</v>
      </c>
      <c r="E52" s="217">
        <v>7.7908636659999999</v>
      </c>
      <c r="F52" s="217">
        <v>18.440981300000001</v>
      </c>
      <c r="G52" s="217">
        <f t="shared" ref="G52:G83" si="8">E52/(E52+F52)</f>
        <v>0.29700021771621504</v>
      </c>
      <c r="H52" s="217">
        <f t="shared" ref="H52:H83" si="9">1-G52</f>
        <v>0.70299978228378501</v>
      </c>
      <c r="I52" s="927">
        <f t="shared" ref="I52:I83" si="10">E52-(D52*G52)</f>
        <v>3.4837802983995578</v>
      </c>
      <c r="J52" s="927">
        <f t="shared" ref="J52:J83" si="11">F52-D52*H52</f>
        <v>8.2461110976004424</v>
      </c>
      <c r="K52" s="217">
        <f t="shared" ref="K52:K83" si="12">I52*$B$5</f>
        <v>3.1354022685596021</v>
      </c>
      <c r="L52" s="217">
        <f t="shared" ref="L52:L83" si="13">I52*$B$4</f>
        <v>3.832158328239514</v>
      </c>
      <c r="M52" s="217">
        <f t="shared" ref="M52:M83" si="14">J52*$B$5</f>
        <v>7.4214999878403987</v>
      </c>
      <c r="N52" s="217">
        <f t="shared" ref="N52:N83" si="15">J52*$B$4</f>
        <v>9.0707222073604878</v>
      </c>
      <c r="O52">
        <v>1</v>
      </c>
      <c r="P52">
        <v>1</v>
      </c>
      <c r="Q52">
        <v>2</v>
      </c>
      <c r="R52">
        <v>2</v>
      </c>
      <c r="S52">
        <v>2</v>
      </c>
    </row>
    <row r="53" spans="1:19">
      <c r="A53" s="895" t="s">
        <v>180</v>
      </c>
      <c r="B53" s="895">
        <v>2015</v>
      </c>
      <c r="C53" s="895" t="s">
        <v>90</v>
      </c>
      <c r="D53" s="217">
        <v>9.1773205440000005</v>
      </c>
      <c r="E53" s="217">
        <v>4.7322028639999996</v>
      </c>
      <c r="F53" s="217">
        <v>11.950123169999999</v>
      </c>
      <c r="G53" s="217">
        <f t="shared" si="8"/>
        <v>0.28366565036286712</v>
      </c>
      <c r="H53" s="217">
        <f t="shared" si="9"/>
        <v>0.71633434963713283</v>
      </c>
      <c r="I53" s="927">
        <f t="shared" si="10"/>
        <v>2.128912263297738</v>
      </c>
      <c r="J53" s="927">
        <f t="shared" si="11"/>
        <v>5.3760932267022614</v>
      </c>
      <c r="K53" s="217">
        <f t="shared" si="12"/>
        <v>1.9160210369679642</v>
      </c>
      <c r="L53" s="217">
        <f t="shared" si="13"/>
        <v>2.3418034896275119</v>
      </c>
      <c r="M53" s="217">
        <f t="shared" si="14"/>
        <v>4.8384839040320351</v>
      </c>
      <c r="N53" s="217">
        <f t="shared" si="15"/>
        <v>5.9137025493724877</v>
      </c>
      <c r="O53">
        <v>1</v>
      </c>
      <c r="P53">
        <v>1</v>
      </c>
      <c r="Q53">
        <v>2</v>
      </c>
      <c r="R53">
        <v>2</v>
      </c>
      <c r="S53">
        <v>2</v>
      </c>
    </row>
    <row r="54" spans="1:19">
      <c r="A54" s="895" t="s">
        <v>180</v>
      </c>
      <c r="B54" s="895">
        <v>2015</v>
      </c>
      <c r="C54" s="895" t="s">
        <v>92</v>
      </c>
      <c r="D54" s="217">
        <v>17.112173680000001</v>
      </c>
      <c r="E54" s="217">
        <v>6.0161579129999998</v>
      </c>
      <c r="F54" s="217">
        <v>26.29816748</v>
      </c>
      <c r="G54" s="217">
        <f t="shared" si="8"/>
        <v>0.18617618780007808</v>
      </c>
      <c r="H54" s="217">
        <f t="shared" si="9"/>
        <v>0.81382381219992195</v>
      </c>
      <c r="I54" s="927">
        <f t="shared" si="10"/>
        <v>2.8302786522847665</v>
      </c>
      <c r="J54" s="927">
        <f t="shared" si="11"/>
        <v>12.371873060715231</v>
      </c>
      <c r="K54" s="217">
        <f t="shared" si="12"/>
        <v>2.5472507870562899</v>
      </c>
      <c r="L54" s="217">
        <f t="shared" si="13"/>
        <v>3.1133065175132435</v>
      </c>
      <c r="M54" s="217">
        <f t="shared" si="14"/>
        <v>11.134685754643709</v>
      </c>
      <c r="N54" s="217">
        <f t="shared" si="15"/>
        <v>13.609060366786755</v>
      </c>
      <c r="O54">
        <v>1</v>
      </c>
      <c r="P54">
        <v>1</v>
      </c>
      <c r="Q54">
        <v>2</v>
      </c>
      <c r="R54">
        <v>2</v>
      </c>
      <c r="S54">
        <v>2</v>
      </c>
    </row>
    <row r="55" spans="1:19">
      <c r="A55" s="895" t="s">
        <v>180</v>
      </c>
      <c r="B55" s="895">
        <v>2016</v>
      </c>
      <c r="C55" s="895" t="s">
        <v>99</v>
      </c>
      <c r="D55" s="217">
        <v>8.6037087319999994</v>
      </c>
      <c r="E55" s="217">
        <v>3.3324842399999999</v>
      </c>
      <c r="F55" s="217">
        <v>16.501961649999998</v>
      </c>
      <c r="G55" s="217">
        <f t="shared" si="8"/>
        <v>0.16801499061187034</v>
      </c>
      <c r="H55" s="217">
        <f t="shared" si="9"/>
        <v>0.83198500938812969</v>
      </c>
      <c r="I55" s="927">
        <f t="shared" si="10"/>
        <v>1.8869321981657532</v>
      </c>
      <c r="J55" s="927">
        <f t="shared" si="11"/>
        <v>9.3438049598342445</v>
      </c>
      <c r="K55" s="217">
        <f t="shared" si="12"/>
        <v>1.6982389783491778</v>
      </c>
      <c r="L55" s="217">
        <f t="shared" si="13"/>
        <v>2.0756254179823288</v>
      </c>
      <c r="M55" s="217">
        <f t="shared" si="14"/>
        <v>8.4094244638508204</v>
      </c>
      <c r="N55" s="217">
        <f t="shared" si="15"/>
        <v>10.27818545581767</v>
      </c>
      <c r="O55">
        <v>1</v>
      </c>
      <c r="P55">
        <v>1</v>
      </c>
      <c r="Q55">
        <v>2</v>
      </c>
      <c r="R55">
        <v>2</v>
      </c>
      <c r="S55">
        <v>2</v>
      </c>
    </row>
    <row r="56" spans="1:19">
      <c r="A56" s="895" t="s">
        <v>180</v>
      </c>
      <c r="B56" s="895">
        <v>2016</v>
      </c>
      <c r="C56" s="895" t="s">
        <v>98</v>
      </c>
      <c r="D56" s="217">
        <v>18.974461300000002</v>
      </c>
      <c r="E56" s="217">
        <v>5.6720230369999998</v>
      </c>
      <c r="F56" s="217">
        <v>32.143780939999999</v>
      </c>
      <c r="G56" s="217">
        <f t="shared" si="8"/>
        <v>0.14999080914555693</v>
      </c>
      <c r="H56" s="217">
        <f t="shared" si="9"/>
        <v>0.85000919085444304</v>
      </c>
      <c r="I56" s="927">
        <f t="shared" si="10"/>
        <v>2.8260282335119435</v>
      </c>
      <c r="J56" s="927">
        <f t="shared" si="11"/>
        <v>16.015314443488055</v>
      </c>
      <c r="K56" s="217">
        <f t="shared" si="12"/>
        <v>2.5434254101607494</v>
      </c>
      <c r="L56" s="217">
        <f t="shared" si="13"/>
        <v>3.1086310568631381</v>
      </c>
      <c r="M56" s="217">
        <f t="shared" si="14"/>
        <v>14.413782999139251</v>
      </c>
      <c r="N56" s="217">
        <f t="shared" si="15"/>
        <v>17.616845887836863</v>
      </c>
      <c r="O56">
        <v>1</v>
      </c>
      <c r="P56">
        <v>1</v>
      </c>
      <c r="Q56">
        <v>2</v>
      </c>
      <c r="R56">
        <v>2</v>
      </c>
      <c r="S56">
        <v>2</v>
      </c>
    </row>
    <row r="57" spans="1:19">
      <c r="A57" s="895" t="s">
        <v>180</v>
      </c>
      <c r="B57" s="895">
        <v>2016</v>
      </c>
      <c r="C57" s="895" t="s">
        <v>95</v>
      </c>
      <c r="D57" s="217">
        <v>21.639784129999999</v>
      </c>
      <c r="E57" s="217">
        <v>10.07252175</v>
      </c>
      <c r="F57" s="217">
        <v>39.27596527</v>
      </c>
      <c r="G57" s="217">
        <f t="shared" si="8"/>
        <v>0.20411004183203832</v>
      </c>
      <c r="H57" s="217">
        <f t="shared" si="9"/>
        <v>0.79588995816796171</v>
      </c>
      <c r="I57" s="927">
        <f t="shared" si="10"/>
        <v>5.6556245059894215</v>
      </c>
      <c r="J57" s="927">
        <f t="shared" si="11"/>
        <v>22.053078384010579</v>
      </c>
      <c r="K57" s="217">
        <f t="shared" si="12"/>
        <v>5.0900620553904794</v>
      </c>
      <c r="L57" s="217">
        <f t="shared" si="13"/>
        <v>6.2211869565883644</v>
      </c>
      <c r="M57" s="217">
        <f t="shared" si="14"/>
        <v>19.847770545609521</v>
      </c>
      <c r="N57" s="217">
        <f t="shared" si="15"/>
        <v>24.258386222411637</v>
      </c>
      <c r="O57">
        <v>1</v>
      </c>
      <c r="P57">
        <v>1</v>
      </c>
      <c r="Q57">
        <v>2</v>
      </c>
      <c r="R57">
        <v>2</v>
      </c>
      <c r="S57">
        <v>2</v>
      </c>
    </row>
    <row r="58" spans="1:19">
      <c r="A58" s="895" t="s">
        <v>180</v>
      </c>
      <c r="B58" s="895">
        <v>2016</v>
      </c>
      <c r="C58" s="895" t="s">
        <v>91</v>
      </c>
      <c r="D58" s="217">
        <v>112.50988359999999</v>
      </c>
      <c r="E58" s="217">
        <v>35.340356649999997</v>
      </c>
      <c r="F58" s="217">
        <v>221.56452039999999</v>
      </c>
      <c r="G58" s="217">
        <f t="shared" si="8"/>
        <v>0.13756203095794828</v>
      </c>
      <c r="H58" s="217">
        <f t="shared" si="9"/>
        <v>0.86243796904205172</v>
      </c>
      <c r="I58" s="927">
        <f t="shared" si="10"/>
        <v>19.863268559141641</v>
      </c>
      <c r="J58" s="927">
        <f t="shared" si="11"/>
        <v>124.53172489085836</v>
      </c>
      <c r="K58" s="217">
        <f t="shared" si="12"/>
        <v>17.876941703227477</v>
      </c>
      <c r="L58" s="217">
        <f t="shared" si="13"/>
        <v>21.849595415055806</v>
      </c>
      <c r="M58" s="217">
        <f t="shared" si="14"/>
        <v>112.07855240177253</v>
      </c>
      <c r="N58" s="217">
        <f t="shared" si="15"/>
        <v>136.98489737994421</v>
      </c>
      <c r="O58">
        <v>1</v>
      </c>
      <c r="P58">
        <v>1</v>
      </c>
      <c r="Q58">
        <v>2</v>
      </c>
      <c r="R58">
        <v>2</v>
      </c>
      <c r="S58">
        <v>2</v>
      </c>
    </row>
    <row r="59" spans="1:19">
      <c r="A59" s="895" t="s">
        <v>180</v>
      </c>
      <c r="B59" s="895">
        <v>2016</v>
      </c>
      <c r="C59" s="895" t="s">
        <v>93</v>
      </c>
      <c r="D59" s="217">
        <v>16.889088149999999</v>
      </c>
      <c r="E59" s="217">
        <v>8.6108498440000005</v>
      </c>
      <c r="F59" s="217">
        <v>20.21475659</v>
      </c>
      <c r="G59" s="217">
        <f t="shared" si="8"/>
        <v>0.29872224418645515</v>
      </c>
      <c r="H59" s="217">
        <f t="shared" si="9"/>
        <v>0.70127775581354479</v>
      </c>
      <c r="I59" s="927">
        <f t="shared" si="10"/>
        <v>3.5657035295691344</v>
      </c>
      <c r="J59" s="927">
        <f t="shared" si="11"/>
        <v>8.3708147544308673</v>
      </c>
      <c r="K59" s="217">
        <f t="shared" si="12"/>
        <v>3.2091331766122209</v>
      </c>
      <c r="L59" s="217">
        <f t="shared" si="13"/>
        <v>3.9222738825260484</v>
      </c>
      <c r="M59" s="217">
        <f t="shared" si="14"/>
        <v>7.5337332789877811</v>
      </c>
      <c r="N59" s="217">
        <f t="shared" si="15"/>
        <v>9.2078962298739544</v>
      </c>
      <c r="O59">
        <v>1</v>
      </c>
      <c r="P59">
        <v>1</v>
      </c>
      <c r="Q59">
        <v>2</v>
      </c>
      <c r="R59">
        <v>2</v>
      </c>
      <c r="S59">
        <v>2</v>
      </c>
    </row>
    <row r="60" spans="1:19">
      <c r="A60" s="895" t="s">
        <v>180</v>
      </c>
      <c r="B60" s="895">
        <v>2016</v>
      </c>
      <c r="C60" s="895" t="s">
        <v>90</v>
      </c>
      <c r="D60" s="217">
        <v>10.712392189999999</v>
      </c>
      <c r="E60" s="217">
        <v>5.213295145</v>
      </c>
      <c r="F60" s="217">
        <v>13.063414059999999</v>
      </c>
      <c r="G60" s="217">
        <f t="shared" si="8"/>
        <v>0.28524255031500895</v>
      </c>
      <c r="H60" s="217">
        <f t="shared" si="9"/>
        <v>0.71475744968499111</v>
      </c>
      <c r="I60" s="927">
        <f t="shared" si="10"/>
        <v>2.1576650767498164</v>
      </c>
      <c r="J60" s="927">
        <f t="shared" si="11"/>
        <v>5.4066519382501834</v>
      </c>
      <c r="K60" s="217">
        <f t="shared" si="12"/>
        <v>1.9418985690748349</v>
      </c>
      <c r="L60" s="217">
        <f t="shared" si="13"/>
        <v>2.3734315844247984</v>
      </c>
      <c r="M60" s="217">
        <f t="shared" si="14"/>
        <v>4.8659867444251654</v>
      </c>
      <c r="N60" s="217">
        <f t="shared" si="15"/>
        <v>5.9473171320752023</v>
      </c>
      <c r="O60">
        <v>1</v>
      </c>
      <c r="P60">
        <v>1</v>
      </c>
      <c r="Q60">
        <v>2</v>
      </c>
      <c r="R60">
        <v>2</v>
      </c>
      <c r="S60">
        <v>2</v>
      </c>
    </row>
    <row r="61" spans="1:19">
      <c r="A61" s="895" t="s">
        <v>180</v>
      </c>
      <c r="B61" s="895">
        <v>2016</v>
      </c>
      <c r="C61" s="895" t="s">
        <v>92</v>
      </c>
      <c r="D61" s="217">
        <v>20.37883248</v>
      </c>
      <c r="E61" s="217">
        <v>6.4480846749999996</v>
      </c>
      <c r="F61" s="217">
        <v>28.164366950000002</v>
      </c>
      <c r="G61" s="217">
        <f t="shared" si="8"/>
        <v>0.18629378655000142</v>
      </c>
      <c r="H61" s="217">
        <f t="shared" si="9"/>
        <v>0.81370621344999861</v>
      </c>
      <c r="I61" s="927">
        <f t="shared" si="10"/>
        <v>2.6516348068326434</v>
      </c>
      <c r="J61" s="927">
        <f t="shared" si="11"/>
        <v>11.581984338167356</v>
      </c>
      <c r="K61" s="217">
        <f t="shared" si="12"/>
        <v>2.3864713261493793</v>
      </c>
      <c r="L61" s="217">
        <f t="shared" si="13"/>
        <v>2.916798287515908</v>
      </c>
      <c r="M61" s="217">
        <f t="shared" si="14"/>
        <v>10.42378590435062</v>
      </c>
      <c r="N61" s="217">
        <f t="shared" si="15"/>
        <v>12.740182771984092</v>
      </c>
      <c r="O61">
        <v>1</v>
      </c>
      <c r="P61">
        <v>1</v>
      </c>
      <c r="Q61">
        <v>2</v>
      </c>
      <c r="R61">
        <v>2</v>
      </c>
      <c r="S61">
        <v>2</v>
      </c>
    </row>
    <row r="62" spans="1:19">
      <c r="A62" s="895" t="s">
        <v>180</v>
      </c>
      <c r="B62" s="895">
        <v>2017</v>
      </c>
      <c r="C62" s="895" t="s">
        <v>99</v>
      </c>
      <c r="D62" s="217">
        <v>8.8705314049999995</v>
      </c>
      <c r="E62" s="217">
        <v>2.7178807890000001</v>
      </c>
      <c r="F62" s="217">
        <v>17.034923070000001</v>
      </c>
      <c r="G62" s="217">
        <f t="shared" si="8"/>
        <v>0.1375946831852759</v>
      </c>
      <c r="H62" s="217">
        <f t="shared" si="9"/>
        <v>0.8624053168147241</v>
      </c>
      <c r="I62" s="927">
        <f t="shared" si="10"/>
        <v>1.4973428306439849</v>
      </c>
      <c r="J62" s="927">
        <f t="shared" si="11"/>
        <v>9.3849296233560171</v>
      </c>
      <c r="K62" s="217">
        <f t="shared" si="12"/>
        <v>1.3476085475795865</v>
      </c>
      <c r="L62" s="217">
        <f t="shared" si="13"/>
        <v>1.6470771137083835</v>
      </c>
      <c r="M62" s="217">
        <f t="shared" si="14"/>
        <v>8.4464366610204156</v>
      </c>
      <c r="N62" s="217">
        <f t="shared" si="15"/>
        <v>10.32342258569162</v>
      </c>
      <c r="O62">
        <v>1</v>
      </c>
      <c r="P62">
        <v>1</v>
      </c>
      <c r="Q62">
        <v>2</v>
      </c>
      <c r="R62">
        <v>2</v>
      </c>
      <c r="S62">
        <v>2</v>
      </c>
    </row>
    <row r="63" spans="1:19">
      <c r="A63" s="895" t="s">
        <v>180</v>
      </c>
      <c r="B63" s="895">
        <v>2017</v>
      </c>
      <c r="C63" s="895" t="s">
        <v>98</v>
      </c>
      <c r="D63" s="217">
        <v>20.569637069999999</v>
      </c>
      <c r="E63" s="217">
        <v>5.2403185499999996</v>
      </c>
      <c r="F63" s="217">
        <v>32.198553560000001</v>
      </c>
      <c r="G63" s="217">
        <f t="shared" si="8"/>
        <v>0.13996998987050949</v>
      </c>
      <c r="H63" s="217">
        <f t="shared" si="9"/>
        <v>0.86003001012949054</v>
      </c>
      <c r="I63" s="927">
        <f t="shared" si="10"/>
        <v>2.3611866576720435</v>
      </c>
      <c r="J63" s="927">
        <f t="shared" si="11"/>
        <v>14.508048382327956</v>
      </c>
      <c r="K63" s="217">
        <f t="shared" si="12"/>
        <v>2.1250679919048392</v>
      </c>
      <c r="L63" s="217">
        <f t="shared" si="13"/>
        <v>2.5973053234392482</v>
      </c>
      <c r="M63" s="217">
        <f t="shared" si="14"/>
        <v>13.057243544095162</v>
      </c>
      <c r="N63" s="217">
        <f t="shared" si="15"/>
        <v>15.958853220560753</v>
      </c>
      <c r="O63">
        <v>1</v>
      </c>
      <c r="P63">
        <v>1</v>
      </c>
      <c r="Q63">
        <v>2</v>
      </c>
      <c r="R63">
        <v>2</v>
      </c>
      <c r="S63">
        <v>2</v>
      </c>
    </row>
    <row r="64" spans="1:19">
      <c r="A64" s="895" t="s">
        <v>180</v>
      </c>
      <c r="B64" s="895">
        <v>2017</v>
      </c>
      <c r="C64" s="895" t="s">
        <v>95</v>
      </c>
      <c r="D64" s="217">
        <v>23.019471899999999</v>
      </c>
      <c r="E64" s="217">
        <v>8.9314289819999999</v>
      </c>
      <c r="F64" s="217">
        <v>39.039347990000003</v>
      </c>
      <c r="G64" s="217">
        <f t="shared" si="8"/>
        <v>0.18618478886037584</v>
      </c>
      <c r="H64" s="217">
        <f t="shared" si="9"/>
        <v>0.81381521113962418</v>
      </c>
      <c r="I64" s="927">
        <f t="shared" si="10"/>
        <v>4.6455534666211449</v>
      </c>
      <c r="J64" s="927">
        <f t="shared" si="11"/>
        <v>20.305751605378859</v>
      </c>
      <c r="K64" s="217">
        <f t="shared" si="12"/>
        <v>4.1809981199590309</v>
      </c>
      <c r="L64" s="217">
        <f t="shared" si="13"/>
        <v>5.1101088132832597</v>
      </c>
      <c r="M64" s="217">
        <f t="shared" si="14"/>
        <v>18.275176444840973</v>
      </c>
      <c r="N64" s="217">
        <f t="shared" si="15"/>
        <v>22.336326765916748</v>
      </c>
      <c r="O64">
        <v>1</v>
      </c>
      <c r="P64">
        <v>1</v>
      </c>
      <c r="Q64">
        <v>2</v>
      </c>
      <c r="R64">
        <v>2</v>
      </c>
      <c r="S64">
        <v>2</v>
      </c>
    </row>
    <row r="65" spans="1:19">
      <c r="A65" s="895" t="s">
        <v>180</v>
      </c>
      <c r="B65" s="895">
        <v>2017</v>
      </c>
      <c r="C65" s="895" t="s">
        <v>91</v>
      </c>
      <c r="D65" s="217">
        <v>119.010966</v>
      </c>
      <c r="E65" s="217">
        <v>31.219740999999999</v>
      </c>
      <c r="F65" s="217">
        <v>211.95836850000001</v>
      </c>
      <c r="G65" s="217">
        <f t="shared" si="8"/>
        <v>0.12838220127704381</v>
      </c>
      <c r="H65" s="217">
        <f t="shared" si="9"/>
        <v>0.87161779872295619</v>
      </c>
      <c r="I65" s="927">
        <f t="shared" si="10"/>
        <v>15.940851208812582</v>
      </c>
      <c r="J65" s="927">
        <f t="shared" si="11"/>
        <v>108.22629229118742</v>
      </c>
      <c r="K65" s="217">
        <f t="shared" si="12"/>
        <v>14.346766087931323</v>
      </c>
      <c r="L65" s="217">
        <f t="shared" si="13"/>
        <v>17.534936329693842</v>
      </c>
      <c r="M65" s="217">
        <f t="shared" si="14"/>
        <v>97.403663062068674</v>
      </c>
      <c r="N65" s="217">
        <f t="shared" si="15"/>
        <v>119.04892152030617</v>
      </c>
      <c r="O65">
        <v>1</v>
      </c>
      <c r="P65">
        <v>1</v>
      </c>
      <c r="Q65">
        <v>2</v>
      </c>
      <c r="R65">
        <v>2</v>
      </c>
      <c r="S65">
        <v>2</v>
      </c>
    </row>
    <row r="66" spans="1:19">
      <c r="A66" s="895" t="s">
        <v>180</v>
      </c>
      <c r="B66" s="895">
        <v>2017</v>
      </c>
      <c r="C66" s="895" t="s">
        <v>93</v>
      </c>
      <c r="D66" s="217">
        <v>18.539099319999998</v>
      </c>
      <c r="E66" s="217">
        <v>8.4864438230000001</v>
      </c>
      <c r="F66" s="217">
        <v>20.151662380000001</v>
      </c>
      <c r="G66" s="217">
        <f t="shared" si="8"/>
        <v>0.29633397414075507</v>
      </c>
      <c r="H66" s="217">
        <f t="shared" si="9"/>
        <v>0.70366602585924487</v>
      </c>
      <c r="I66" s="927">
        <f t="shared" si="10"/>
        <v>2.9926788445142307</v>
      </c>
      <c r="J66" s="927">
        <f t="shared" si="11"/>
        <v>7.1063280384857741</v>
      </c>
      <c r="K66" s="217">
        <f t="shared" si="12"/>
        <v>2.6934109600628076</v>
      </c>
      <c r="L66" s="217">
        <f t="shared" si="13"/>
        <v>3.2919467289656539</v>
      </c>
      <c r="M66" s="217">
        <f t="shared" si="14"/>
        <v>6.3956952346371967</v>
      </c>
      <c r="N66" s="217">
        <f t="shared" si="15"/>
        <v>7.8169608423343524</v>
      </c>
      <c r="O66">
        <v>1</v>
      </c>
      <c r="P66">
        <v>1</v>
      </c>
      <c r="Q66">
        <v>2</v>
      </c>
      <c r="R66">
        <v>2</v>
      </c>
      <c r="S66">
        <v>2</v>
      </c>
    </row>
    <row r="67" spans="1:19">
      <c r="A67" s="895" t="s">
        <v>180</v>
      </c>
      <c r="B67" s="895">
        <v>2017</v>
      </c>
      <c r="C67" s="895" t="s">
        <v>90</v>
      </c>
      <c r="D67" s="217">
        <v>11.718102119999999</v>
      </c>
      <c r="E67" s="217">
        <v>5.1317544799999997</v>
      </c>
      <c r="F67" s="217">
        <v>13.02140958</v>
      </c>
      <c r="G67" s="217">
        <f t="shared" si="8"/>
        <v>0.28269201242485764</v>
      </c>
      <c r="H67" s="217">
        <f t="shared" si="9"/>
        <v>0.71730798757514236</v>
      </c>
      <c r="I67" s="927">
        <f t="shared" si="10"/>
        <v>1.8191406098972092</v>
      </c>
      <c r="J67" s="927">
        <f t="shared" si="11"/>
        <v>4.6159213301027915</v>
      </c>
      <c r="K67" s="217">
        <f t="shared" si="12"/>
        <v>1.6372265489074882</v>
      </c>
      <c r="L67" s="217">
        <f t="shared" si="13"/>
        <v>2.0010546708869303</v>
      </c>
      <c r="M67" s="217">
        <f t="shared" si="14"/>
        <v>4.1543291970925127</v>
      </c>
      <c r="N67" s="217">
        <f t="shared" si="15"/>
        <v>5.0775134631130712</v>
      </c>
      <c r="O67">
        <v>1</v>
      </c>
      <c r="P67">
        <v>1</v>
      </c>
      <c r="Q67">
        <v>2</v>
      </c>
      <c r="R67">
        <v>2</v>
      </c>
      <c r="S67">
        <v>2</v>
      </c>
    </row>
    <row r="68" spans="1:19">
      <c r="A68" s="895" t="s">
        <v>180</v>
      </c>
      <c r="B68" s="895">
        <v>2017</v>
      </c>
      <c r="C68" s="895" t="s">
        <v>92</v>
      </c>
      <c r="D68" s="217">
        <v>21.6133624</v>
      </c>
      <c r="E68" s="217">
        <v>6.2817467640000002</v>
      </c>
      <c r="F68" s="217">
        <v>27.853160039999999</v>
      </c>
      <c r="G68" s="217">
        <f t="shared" si="8"/>
        <v>0.18402706648854517</v>
      </c>
      <c r="H68" s="217">
        <f t="shared" si="9"/>
        <v>0.81597293351145483</v>
      </c>
      <c r="I68" s="927">
        <f t="shared" si="10"/>
        <v>2.3043030845741783</v>
      </c>
      <c r="J68" s="927">
        <f t="shared" si="11"/>
        <v>10.21724131942582</v>
      </c>
      <c r="K68" s="217">
        <f t="shared" si="12"/>
        <v>2.0738727761167604</v>
      </c>
      <c r="L68" s="217">
        <f t="shared" si="13"/>
        <v>2.5347333930315963</v>
      </c>
      <c r="M68" s="217">
        <f t="shared" si="14"/>
        <v>9.1955171874832384</v>
      </c>
      <c r="N68" s="217">
        <f t="shared" si="15"/>
        <v>11.238965451368404</v>
      </c>
      <c r="O68">
        <v>1</v>
      </c>
      <c r="P68">
        <v>1</v>
      </c>
      <c r="Q68">
        <v>2</v>
      </c>
      <c r="R68">
        <v>2</v>
      </c>
      <c r="S68">
        <v>2</v>
      </c>
    </row>
    <row r="69" spans="1:19">
      <c r="A69" s="895" t="s">
        <v>180</v>
      </c>
      <c r="B69" s="895">
        <v>2018</v>
      </c>
      <c r="C69" s="895" t="s">
        <v>99</v>
      </c>
      <c r="D69" s="217">
        <v>10.01495948</v>
      </c>
      <c r="E69" s="217">
        <v>3.0943820550000001</v>
      </c>
      <c r="F69" s="217">
        <v>18.794389389999999</v>
      </c>
      <c r="G69" s="217">
        <f t="shared" si="8"/>
        <v>0.1413684666028546</v>
      </c>
      <c r="H69" s="217">
        <f t="shared" si="9"/>
        <v>0.85863153339714537</v>
      </c>
      <c r="I69" s="927">
        <f t="shared" si="10"/>
        <v>1.6785825902226781</v>
      </c>
      <c r="J69" s="927">
        <f t="shared" si="11"/>
        <v>10.195229374777321</v>
      </c>
      <c r="K69" s="217">
        <f t="shared" si="12"/>
        <v>1.5107243312004104</v>
      </c>
      <c r="L69" s="217">
        <f t="shared" si="13"/>
        <v>1.846440849244946</v>
      </c>
      <c r="M69" s="217">
        <f t="shared" si="14"/>
        <v>9.1757064372995902</v>
      </c>
      <c r="N69" s="217">
        <f t="shared" si="15"/>
        <v>11.214752312255055</v>
      </c>
      <c r="O69">
        <v>1</v>
      </c>
      <c r="P69">
        <v>1</v>
      </c>
      <c r="Q69">
        <v>2</v>
      </c>
      <c r="R69">
        <v>2</v>
      </c>
      <c r="S69">
        <v>2</v>
      </c>
    </row>
    <row r="70" spans="1:19">
      <c r="A70" s="895" t="s">
        <v>180</v>
      </c>
      <c r="B70" s="895">
        <v>2018</v>
      </c>
      <c r="C70" s="895" t="s">
        <v>98</v>
      </c>
      <c r="D70" s="217">
        <v>22.055573809999999</v>
      </c>
      <c r="E70" s="217">
        <v>6.6512163600000003</v>
      </c>
      <c r="F70" s="217">
        <v>34.900696930000002</v>
      </c>
      <c r="G70" s="217">
        <f t="shared" si="8"/>
        <v>0.1600700384980997</v>
      </c>
      <c r="H70" s="217">
        <f t="shared" si="9"/>
        <v>0.83992996150190025</v>
      </c>
      <c r="I70" s="927">
        <f t="shared" si="10"/>
        <v>3.1207798111356211</v>
      </c>
      <c r="J70" s="927">
        <f t="shared" si="11"/>
        <v>16.375559668864383</v>
      </c>
      <c r="K70" s="217">
        <f t="shared" si="12"/>
        <v>2.8087018300220592</v>
      </c>
      <c r="L70" s="217">
        <f t="shared" si="13"/>
        <v>3.4328577922491834</v>
      </c>
      <c r="M70" s="217">
        <f t="shared" si="14"/>
        <v>14.738003701977945</v>
      </c>
      <c r="N70" s="217">
        <f t="shared" si="15"/>
        <v>18.013115635750822</v>
      </c>
      <c r="O70">
        <v>1</v>
      </c>
      <c r="P70">
        <v>1</v>
      </c>
      <c r="Q70">
        <v>2</v>
      </c>
      <c r="R70">
        <v>2</v>
      </c>
      <c r="S70">
        <v>2</v>
      </c>
    </row>
    <row r="71" spans="1:19">
      <c r="A71" s="895" t="s">
        <v>180</v>
      </c>
      <c r="B71" s="895">
        <v>2018</v>
      </c>
      <c r="C71" s="895" t="s">
        <v>95</v>
      </c>
      <c r="D71" s="217">
        <v>25.072993919999998</v>
      </c>
      <c r="E71" s="217">
        <v>10.04143272</v>
      </c>
      <c r="F71" s="217">
        <v>43.979649270000003</v>
      </c>
      <c r="G71" s="217">
        <f t="shared" si="8"/>
        <v>0.18587988892667492</v>
      </c>
      <c r="H71" s="217">
        <f t="shared" si="9"/>
        <v>0.81412011107332505</v>
      </c>
      <c r="I71" s="927">
        <f t="shared" si="10"/>
        <v>5.3808673950912045</v>
      </c>
      <c r="J71" s="927">
        <f t="shared" si="11"/>
        <v>23.5672206749088</v>
      </c>
      <c r="K71" s="217">
        <f t="shared" si="12"/>
        <v>4.842780655582084</v>
      </c>
      <c r="L71" s="217">
        <f t="shared" si="13"/>
        <v>5.9189541346003258</v>
      </c>
      <c r="M71" s="217">
        <f t="shared" si="14"/>
        <v>21.210498607417922</v>
      </c>
      <c r="N71" s="217">
        <f t="shared" si="15"/>
        <v>25.923942742399682</v>
      </c>
      <c r="O71">
        <v>1</v>
      </c>
      <c r="P71">
        <v>1</v>
      </c>
      <c r="Q71">
        <v>2</v>
      </c>
      <c r="R71">
        <v>2</v>
      </c>
      <c r="S71">
        <v>2</v>
      </c>
    </row>
    <row r="72" spans="1:19">
      <c r="A72" s="895" t="s">
        <v>180</v>
      </c>
      <c r="B72" s="895">
        <v>2018</v>
      </c>
      <c r="C72" s="895" t="s">
        <v>91</v>
      </c>
      <c r="D72" s="217">
        <v>129.02562879999999</v>
      </c>
      <c r="E72" s="217">
        <v>37.438594360000003</v>
      </c>
      <c r="F72" s="217">
        <v>235.69731569999999</v>
      </c>
      <c r="G72" s="217">
        <f t="shared" si="8"/>
        <v>0.13706946974411321</v>
      </c>
      <c r="H72" s="217">
        <f t="shared" si="9"/>
        <v>0.86293053025588673</v>
      </c>
      <c r="I72" s="927">
        <f t="shared" si="10"/>
        <v>19.75311983698322</v>
      </c>
      <c r="J72" s="927">
        <f t="shared" si="11"/>
        <v>124.35716142301679</v>
      </c>
      <c r="K72" s="217">
        <f t="shared" si="12"/>
        <v>17.777807853284898</v>
      </c>
      <c r="L72" s="217">
        <f t="shared" si="13"/>
        <v>21.728431820681543</v>
      </c>
      <c r="M72" s="217">
        <f t="shared" si="14"/>
        <v>111.92144528071512</v>
      </c>
      <c r="N72" s="217">
        <f t="shared" si="15"/>
        <v>136.79287756531849</v>
      </c>
      <c r="O72">
        <v>1</v>
      </c>
      <c r="P72">
        <v>1</v>
      </c>
      <c r="Q72">
        <v>2</v>
      </c>
      <c r="R72">
        <v>2</v>
      </c>
      <c r="S72">
        <v>2</v>
      </c>
    </row>
    <row r="73" spans="1:19">
      <c r="A73" s="895" t="s">
        <v>180</v>
      </c>
      <c r="B73" s="895">
        <v>2018</v>
      </c>
      <c r="C73" s="895" t="s">
        <v>93</v>
      </c>
      <c r="D73" s="217">
        <v>18.712387209999999</v>
      </c>
      <c r="E73" s="217">
        <v>8.3623091550000002</v>
      </c>
      <c r="F73" s="217">
        <v>21.463345409999999</v>
      </c>
      <c r="G73" s="217">
        <f t="shared" si="8"/>
        <v>0.28037303043176315</v>
      </c>
      <c r="H73" s="217">
        <f t="shared" si="9"/>
        <v>0.71962696956823691</v>
      </c>
      <c r="I73" s="927">
        <f t="shared" si="10"/>
        <v>3.1158604463197346</v>
      </c>
      <c r="J73" s="927">
        <f t="shared" si="11"/>
        <v>7.9974069086802633</v>
      </c>
      <c r="K73" s="217">
        <f t="shared" si="12"/>
        <v>2.8042744016877612</v>
      </c>
      <c r="L73" s="217">
        <f t="shared" si="13"/>
        <v>3.4274464909517084</v>
      </c>
      <c r="M73" s="217">
        <f t="shared" si="14"/>
        <v>7.1976662178122375</v>
      </c>
      <c r="N73" s="217">
        <f t="shared" si="15"/>
        <v>8.7971475995482908</v>
      </c>
      <c r="O73">
        <v>1</v>
      </c>
      <c r="P73">
        <v>1</v>
      </c>
      <c r="Q73">
        <v>2</v>
      </c>
      <c r="R73">
        <v>2</v>
      </c>
      <c r="S73">
        <v>2</v>
      </c>
    </row>
    <row r="74" spans="1:19">
      <c r="A74" s="895" t="s">
        <v>180</v>
      </c>
      <c r="B74" s="895">
        <v>2018</v>
      </c>
      <c r="C74" s="895" t="s">
        <v>90</v>
      </c>
      <c r="D74" s="217">
        <v>11.878221569999999</v>
      </c>
      <c r="E74" s="217">
        <v>5.1216061599999998</v>
      </c>
      <c r="F74" s="217">
        <v>13.861956660000001</v>
      </c>
      <c r="G74" s="217">
        <f t="shared" si="8"/>
        <v>0.26979161965340709</v>
      </c>
      <c r="H74" s="217">
        <f t="shared" si="9"/>
        <v>0.73020838034659286</v>
      </c>
      <c r="I74" s="927">
        <f t="shared" si="10"/>
        <v>1.9169615240276641</v>
      </c>
      <c r="J74" s="927">
        <f t="shared" si="11"/>
        <v>5.1883797259723377</v>
      </c>
      <c r="K74" s="217">
        <f t="shared" si="12"/>
        <v>1.7252653716248978</v>
      </c>
      <c r="L74" s="217">
        <f t="shared" si="13"/>
        <v>2.1086576764304308</v>
      </c>
      <c r="M74" s="217">
        <f t="shared" si="14"/>
        <v>4.6695417533751042</v>
      </c>
      <c r="N74" s="217">
        <f t="shared" si="15"/>
        <v>5.707217698569572</v>
      </c>
      <c r="O74">
        <v>1</v>
      </c>
      <c r="P74">
        <v>1</v>
      </c>
      <c r="Q74">
        <v>2</v>
      </c>
      <c r="R74">
        <v>2</v>
      </c>
      <c r="S74">
        <v>2</v>
      </c>
    </row>
    <row r="75" spans="1:19">
      <c r="A75" s="895" t="s">
        <v>180</v>
      </c>
      <c r="B75" s="895">
        <v>2018</v>
      </c>
      <c r="C75" s="895" t="s">
        <v>92</v>
      </c>
      <c r="D75" s="217">
        <v>22.540254990000001</v>
      </c>
      <c r="E75" s="217">
        <v>7.2968744230000002</v>
      </c>
      <c r="F75" s="217">
        <v>29.43337764</v>
      </c>
      <c r="G75" s="217">
        <f t="shared" si="8"/>
        <v>0.19866115839565562</v>
      </c>
      <c r="H75" s="217">
        <f t="shared" si="9"/>
        <v>0.80133884160434432</v>
      </c>
      <c r="I75" s="927">
        <f t="shared" si="10"/>
        <v>2.8190012561531432</v>
      </c>
      <c r="J75" s="927">
        <f t="shared" si="11"/>
        <v>11.370995816846857</v>
      </c>
      <c r="K75" s="217">
        <f t="shared" si="12"/>
        <v>2.5371011305378288</v>
      </c>
      <c r="L75" s="217">
        <f t="shared" si="13"/>
        <v>3.1009013817684576</v>
      </c>
      <c r="M75" s="217">
        <f t="shared" si="14"/>
        <v>10.233896235162172</v>
      </c>
      <c r="N75" s="217">
        <f t="shared" si="15"/>
        <v>12.508095398531545</v>
      </c>
      <c r="O75">
        <v>1</v>
      </c>
      <c r="P75">
        <v>1</v>
      </c>
      <c r="Q75">
        <v>2</v>
      </c>
      <c r="R75">
        <v>2</v>
      </c>
      <c r="S75">
        <v>2</v>
      </c>
    </row>
    <row r="76" spans="1:19">
      <c r="A76" s="895" t="s">
        <v>180</v>
      </c>
      <c r="B76" s="895">
        <v>2019</v>
      </c>
      <c r="C76" s="895" t="s">
        <v>99</v>
      </c>
      <c r="D76" s="217">
        <v>10.03581292</v>
      </c>
      <c r="E76" s="217">
        <v>2.9301375140000001</v>
      </c>
      <c r="F76" s="217">
        <v>17.54854632</v>
      </c>
      <c r="G76" s="217">
        <f t="shared" si="8"/>
        <v>0.14308231611717162</v>
      </c>
      <c r="H76" s="217">
        <f t="shared" si="9"/>
        <v>0.85691768388282841</v>
      </c>
      <c r="I76" s="927">
        <f t="shared" si="10"/>
        <v>1.4941901572877649</v>
      </c>
      <c r="J76" s="927">
        <f t="shared" si="11"/>
        <v>8.9486807567122355</v>
      </c>
      <c r="K76" s="217">
        <f t="shared" si="12"/>
        <v>1.3447711415589885</v>
      </c>
      <c r="L76" s="217">
        <f t="shared" si="13"/>
        <v>1.6436091730165416</v>
      </c>
      <c r="M76" s="217">
        <f t="shared" si="14"/>
        <v>8.0538126810410127</v>
      </c>
      <c r="N76" s="217">
        <f t="shared" si="15"/>
        <v>9.8435488323834601</v>
      </c>
      <c r="O76">
        <v>1</v>
      </c>
      <c r="P76">
        <v>1</v>
      </c>
      <c r="Q76">
        <v>2</v>
      </c>
      <c r="R76">
        <v>2</v>
      </c>
      <c r="S76">
        <v>2</v>
      </c>
    </row>
    <row r="77" spans="1:19">
      <c r="A77" s="895" t="s">
        <v>180</v>
      </c>
      <c r="B77" s="895">
        <v>2019</v>
      </c>
      <c r="C77" s="895" t="s">
        <v>98</v>
      </c>
      <c r="D77" s="217">
        <v>21.884298529999999</v>
      </c>
      <c r="E77" s="217">
        <v>5.7895750069999998</v>
      </c>
      <c r="F77" s="217">
        <v>33.598762309999998</v>
      </c>
      <c r="G77" s="217">
        <f t="shared" si="8"/>
        <v>0.14698703731526186</v>
      </c>
      <c r="H77" s="217">
        <f t="shared" si="9"/>
        <v>0.85301296268473814</v>
      </c>
      <c r="I77" s="927">
        <f t="shared" si="10"/>
        <v>2.5728668023525598</v>
      </c>
      <c r="J77" s="927">
        <f t="shared" si="11"/>
        <v>14.931171984647438</v>
      </c>
      <c r="K77" s="217">
        <f t="shared" si="12"/>
        <v>2.315580122117304</v>
      </c>
      <c r="L77" s="217">
        <f t="shared" si="13"/>
        <v>2.8301534825878161</v>
      </c>
      <c r="M77" s="217">
        <f t="shared" si="14"/>
        <v>13.438054786182695</v>
      </c>
      <c r="N77" s="217">
        <f t="shared" si="15"/>
        <v>16.424289183112183</v>
      </c>
      <c r="O77">
        <v>1</v>
      </c>
      <c r="P77">
        <v>1</v>
      </c>
      <c r="Q77">
        <v>2</v>
      </c>
      <c r="R77">
        <v>2</v>
      </c>
      <c r="S77">
        <v>2</v>
      </c>
    </row>
    <row r="78" spans="1:19">
      <c r="A78" s="895" t="s">
        <v>180</v>
      </c>
      <c r="B78" s="895">
        <v>2019</v>
      </c>
      <c r="C78" s="895" t="s">
        <v>95</v>
      </c>
      <c r="D78" s="217">
        <v>25.62662456</v>
      </c>
      <c r="E78" s="217">
        <v>8.8998138359999999</v>
      </c>
      <c r="F78" s="217">
        <v>42.516774699999999</v>
      </c>
      <c r="G78" s="217">
        <f t="shared" si="8"/>
        <v>0.17309226631729327</v>
      </c>
      <c r="H78" s="217">
        <f t="shared" si="9"/>
        <v>0.82690773368270676</v>
      </c>
      <c r="I78" s="927">
        <f t="shared" si="10"/>
        <v>4.464043312847191</v>
      </c>
      <c r="J78" s="927">
        <f t="shared" si="11"/>
        <v>21.325920663152807</v>
      </c>
      <c r="K78" s="217">
        <f t="shared" si="12"/>
        <v>4.017638981562472</v>
      </c>
      <c r="L78" s="217">
        <f t="shared" si="13"/>
        <v>4.9104476441319109</v>
      </c>
      <c r="M78" s="217">
        <f t="shared" si="14"/>
        <v>19.193328596837528</v>
      </c>
      <c r="N78" s="217">
        <f t="shared" si="15"/>
        <v>23.45851272946809</v>
      </c>
      <c r="O78">
        <v>1</v>
      </c>
      <c r="P78">
        <v>1</v>
      </c>
      <c r="Q78">
        <v>2</v>
      </c>
      <c r="R78">
        <v>2</v>
      </c>
      <c r="S78">
        <v>2</v>
      </c>
    </row>
    <row r="79" spans="1:19">
      <c r="A79" s="895" t="s">
        <v>180</v>
      </c>
      <c r="B79" s="895">
        <v>2019</v>
      </c>
      <c r="C79" s="895" t="s">
        <v>91</v>
      </c>
      <c r="D79" s="217">
        <v>128.44063420000001</v>
      </c>
      <c r="E79" s="217">
        <v>31.601882799999998</v>
      </c>
      <c r="F79" s="217">
        <v>226.81486559999999</v>
      </c>
      <c r="G79" s="217">
        <f t="shared" si="8"/>
        <v>0.12229038170190057</v>
      </c>
      <c r="H79" s="217">
        <f t="shared" si="9"/>
        <v>0.87770961829809946</v>
      </c>
      <c r="I79" s="927">
        <f t="shared" si="10"/>
        <v>15.894828617647814</v>
      </c>
      <c r="J79" s="927">
        <f t="shared" si="11"/>
        <v>114.08128558235217</v>
      </c>
      <c r="K79" s="217">
        <f t="shared" si="12"/>
        <v>14.305345755883033</v>
      </c>
      <c r="L79" s="217">
        <f t="shared" si="13"/>
        <v>17.484311479412597</v>
      </c>
      <c r="M79" s="217">
        <f t="shared" si="14"/>
        <v>102.67315702411695</v>
      </c>
      <c r="N79" s="217">
        <f t="shared" si="15"/>
        <v>125.4894141405874</v>
      </c>
      <c r="O79">
        <v>1</v>
      </c>
      <c r="P79">
        <v>1</v>
      </c>
      <c r="Q79">
        <v>2</v>
      </c>
      <c r="R79">
        <v>2</v>
      </c>
      <c r="S79">
        <v>2</v>
      </c>
    </row>
    <row r="80" spans="1:19">
      <c r="A80" s="895" t="s">
        <v>180</v>
      </c>
      <c r="B80" s="895">
        <v>2019</v>
      </c>
      <c r="C80" s="895" t="s">
        <v>93</v>
      </c>
      <c r="D80" s="217">
        <v>17.814076270000001</v>
      </c>
      <c r="E80" s="217">
        <v>7.3827467760000003</v>
      </c>
      <c r="F80" s="217">
        <v>21.224926079999999</v>
      </c>
      <c r="G80" s="217">
        <f t="shared" si="8"/>
        <v>0.25806876403970019</v>
      </c>
      <c r="H80" s="217">
        <f t="shared" si="9"/>
        <v>0.74193123596029986</v>
      </c>
      <c r="I80" s="927">
        <f t="shared" si="10"/>
        <v>2.7854901304921471</v>
      </c>
      <c r="J80" s="927">
        <f t="shared" si="11"/>
        <v>8.0081064555078498</v>
      </c>
      <c r="K80" s="217">
        <f t="shared" si="12"/>
        <v>2.5069411174429326</v>
      </c>
      <c r="L80" s="217">
        <f t="shared" si="13"/>
        <v>3.0640391435413621</v>
      </c>
      <c r="M80" s="217">
        <f t="shared" si="14"/>
        <v>7.2072958099570652</v>
      </c>
      <c r="N80" s="217">
        <f t="shared" si="15"/>
        <v>8.8089171010586362</v>
      </c>
      <c r="O80">
        <v>1</v>
      </c>
      <c r="P80">
        <v>1</v>
      </c>
      <c r="Q80">
        <v>2</v>
      </c>
      <c r="R80">
        <v>2</v>
      </c>
      <c r="S80">
        <v>2</v>
      </c>
    </row>
    <row r="81" spans="1:19">
      <c r="A81" s="895" t="s">
        <v>180</v>
      </c>
      <c r="B81" s="895">
        <v>2019</v>
      </c>
      <c r="C81" s="895" t="s">
        <v>90</v>
      </c>
      <c r="D81" s="217">
        <v>11.317652389999999</v>
      </c>
      <c r="E81" s="217">
        <v>4.492639413</v>
      </c>
      <c r="F81" s="217">
        <v>13.66375494</v>
      </c>
      <c r="G81" s="217">
        <f t="shared" si="8"/>
        <v>0.24744116731842611</v>
      </c>
      <c r="H81" s="217">
        <f t="shared" si="9"/>
        <v>0.75255883268157386</v>
      </c>
      <c r="I81" s="927">
        <f t="shared" si="10"/>
        <v>1.692186294314225</v>
      </c>
      <c r="J81" s="927">
        <f t="shared" si="11"/>
        <v>5.1465556686857763</v>
      </c>
      <c r="K81" s="217">
        <f t="shared" si="12"/>
        <v>1.5229676648828026</v>
      </c>
      <c r="L81" s="217">
        <f t="shared" si="13"/>
        <v>1.8614049237456476</v>
      </c>
      <c r="M81" s="217">
        <f t="shared" si="14"/>
        <v>4.631900101817199</v>
      </c>
      <c r="N81" s="217">
        <f t="shared" si="15"/>
        <v>5.6612112355543545</v>
      </c>
      <c r="O81">
        <v>1</v>
      </c>
      <c r="P81">
        <v>1</v>
      </c>
      <c r="Q81">
        <v>2</v>
      </c>
      <c r="R81">
        <v>2</v>
      </c>
      <c r="S81">
        <v>2</v>
      </c>
    </row>
    <row r="82" spans="1:19">
      <c r="A82" s="895" t="s">
        <v>180</v>
      </c>
      <c r="B82" s="895">
        <v>2019</v>
      </c>
      <c r="C82" s="895" t="s">
        <v>92</v>
      </c>
      <c r="D82" s="217">
        <v>21.589822730000002</v>
      </c>
      <c r="E82" s="217">
        <v>5.9459532919999996</v>
      </c>
      <c r="F82" s="217">
        <v>28.398745170000002</v>
      </c>
      <c r="G82" s="217">
        <f t="shared" si="8"/>
        <v>0.17312579694297736</v>
      </c>
      <c r="H82" s="217">
        <f t="shared" si="9"/>
        <v>0.82687420305702264</v>
      </c>
      <c r="I82" s="927">
        <f t="shared" si="10"/>
        <v>2.208198026011142</v>
      </c>
      <c r="J82" s="927">
        <f t="shared" si="11"/>
        <v>10.546677705988856</v>
      </c>
      <c r="K82" s="217">
        <f t="shared" si="12"/>
        <v>1.9873782234100279</v>
      </c>
      <c r="L82" s="217">
        <f t="shared" si="13"/>
        <v>2.4290178286122566</v>
      </c>
      <c r="M82" s="217">
        <f t="shared" si="14"/>
        <v>9.4920099353899712</v>
      </c>
      <c r="N82" s="217">
        <f t="shared" si="15"/>
        <v>11.601345476587742</v>
      </c>
      <c r="O82">
        <v>1</v>
      </c>
      <c r="P82">
        <v>1</v>
      </c>
      <c r="Q82">
        <v>2</v>
      </c>
      <c r="R82">
        <v>2</v>
      </c>
      <c r="S82">
        <v>2</v>
      </c>
    </row>
    <row r="83" spans="1:19">
      <c r="A83" s="895" t="s">
        <v>180</v>
      </c>
      <c r="B83" s="895">
        <v>2020</v>
      </c>
      <c r="C83" s="895" t="s">
        <v>99</v>
      </c>
      <c r="D83" s="217">
        <v>9.1922539200000006</v>
      </c>
      <c r="E83" s="217">
        <v>1.8709530459999999</v>
      </c>
      <c r="F83" s="217">
        <v>12.13324772</v>
      </c>
      <c r="G83" s="217">
        <f t="shared" si="8"/>
        <v>0.13359941615107232</v>
      </c>
      <c r="H83" s="217">
        <f t="shared" si="9"/>
        <v>0.86640058384892771</v>
      </c>
      <c r="I83" s="927">
        <f t="shared" si="10"/>
        <v>0.64287328917559394</v>
      </c>
      <c r="J83" s="927">
        <f t="shared" si="11"/>
        <v>4.1690735568244053</v>
      </c>
      <c r="K83" s="217">
        <f t="shared" si="12"/>
        <v>0.57858596025803455</v>
      </c>
      <c r="L83" s="217">
        <f t="shared" si="13"/>
        <v>0.70716061809315345</v>
      </c>
      <c r="M83" s="217">
        <f t="shared" si="14"/>
        <v>3.7521662011419648</v>
      </c>
      <c r="N83" s="217">
        <f t="shared" si="15"/>
        <v>4.5859809125068463</v>
      </c>
      <c r="O83">
        <v>1</v>
      </c>
      <c r="P83">
        <v>1</v>
      </c>
      <c r="Q83">
        <v>2</v>
      </c>
      <c r="R83">
        <v>2</v>
      </c>
      <c r="S83">
        <v>2</v>
      </c>
    </row>
    <row r="84" spans="1:19">
      <c r="A84" s="895" t="s">
        <v>180</v>
      </c>
      <c r="B84" s="895">
        <v>2020</v>
      </c>
      <c r="C84" s="895" t="s">
        <v>98</v>
      </c>
      <c r="D84" s="217">
        <v>19.787031639999999</v>
      </c>
      <c r="E84" s="217">
        <v>3.836750688</v>
      </c>
      <c r="F84" s="217">
        <v>22.93146647</v>
      </c>
      <c r="G84" s="217">
        <f t="shared" ref="G84:G103" si="16">E84/(E84+F84)</f>
        <v>0.14333232076508845</v>
      </c>
      <c r="H84" s="217">
        <f t="shared" ref="H84:H103" si="17">1-G84</f>
        <v>0.85666767923491149</v>
      </c>
      <c r="I84" s="927">
        <f t="shared" ref="I84:I103" si="18">E84-(D84*G84)</f>
        <v>1.000629521986566</v>
      </c>
      <c r="J84" s="927">
        <f t="shared" ref="J84:J103" si="19">F84-D84*H84</f>
        <v>5.980555996013436</v>
      </c>
      <c r="K84" s="217">
        <f t="shared" ref="K84:K103" si="20">I84*$B$5</f>
        <v>0.90056656978790939</v>
      </c>
      <c r="L84" s="217">
        <f t="shared" ref="L84:L103" si="21">I84*$B$4</f>
        <v>1.1006924741852226</v>
      </c>
      <c r="M84" s="217">
        <f t="shared" ref="M84:M103" si="22">J84*$B$5</f>
        <v>5.3825003964120928</v>
      </c>
      <c r="N84" s="217">
        <f t="shared" ref="N84:N103" si="23">J84*$B$4</f>
        <v>6.5786115956147801</v>
      </c>
      <c r="O84">
        <v>1</v>
      </c>
      <c r="P84">
        <v>1</v>
      </c>
      <c r="Q84">
        <v>2</v>
      </c>
      <c r="R84">
        <v>2</v>
      </c>
      <c r="S84">
        <v>2</v>
      </c>
    </row>
    <row r="85" spans="1:19">
      <c r="A85" s="895" t="s">
        <v>180</v>
      </c>
      <c r="B85" s="895">
        <v>2020</v>
      </c>
      <c r="C85" s="895" t="s">
        <v>95</v>
      </c>
      <c r="D85" s="217">
        <v>23.382186279999999</v>
      </c>
      <c r="E85" s="217">
        <v>5.9489918609999997</v>
      </c>
      <c r="F85" s="217">
        <v>27.473770129999998</v>
      </c>
      <c r="G85" s="217">
        <f t="shared" si="16"/>
        <v>0.1779922276501843</v>
      </c>
      <c r="H85" s="217">
        <f t="shared" si="17"/>
        <v>0.8220077723498157</v>
      </c>
      <c r="I85" s="927">
        <f t="shared" si="18"/>
        <v>1.7871444376912242</v>
      </c>
      <c r="J85" s="927">
        <f t="shared" si="19"/>
        <v>8.2534312733087738</v>
      </c>
      <c r="K85" s="217">
        <f t="shared" si="20"/>
        <v>1.6084299939221018</v>
      </c>
      <c r="L85" s="217">
        <f t="shared" si="21"/>
        <v>1.9658588814603468</v>
      </c>
      <c r="M85" s="217">
        <f t="shared" si="22"/>
        <v>7.4280881459778962</v>
      </c>
      <c r="N85" s="217">
        <f t="shared" si="23"/>
        <v>9.0787744006396522</v>
      </c>
      <c r="O85">
        <v>1</v>
      </c>
      <c r="P85">
        <v>1</v>
      </c>
      <c r="Q85">
        <v>2</v>
      </c>
      <c r="R85">
        <v>2</v>
      </c>
      <c r="S85">
        <v>2</v>
      </c>
    </row>
    <row r="86" spans="1:19">
      <c r="A86" s="895" t="s">
        <v>180</v>
      </c>
      <c r="B86" s="895">
        <v>2020</v>
      </c>
      <c r="C86" s="895" t="s">
        <v>91</v>
      </c>
      <c r="D86" s="217">
        <v>116.5578671</v>
      </c>
      <c r="E86" s="217">
        <v>19.496869239999999</v>
      </c>
      <c r="F86" s="217">
        <v>146.75291419999999</v>
      </c>
      <c r="G86" s="217">
        <f t="shared" si="16"/>
        <v>0.11727455420738321</v>
      </c>
      <c r="H86" s="217">
        <f t="shared" si="17"/>
        <v>0.8827254457926168</v>
      </c>
      <c r="I86" s="927">
        <f t="shared" si="18"/>
        <v>5.8275973364840805</v>
      </c>
      <c r="J86" s="927">
        <f t="shared" si="19"/>
        <v>43.864319003515917</v>
      </c>
      <c r="K86" s="217">
        <f t="shared" si="20"/>
        <v>5.2448376028356725</v>
      </c>
      <c r="L86" s="217">
        <f t="shared" si="21"/>
        <v>6.4103570701324895</v>
      </c>
      <c r="M86" s="217">
        <f t="shared" si="22"/>
        <v>39.477887103164328</v>
      </c>
      <c r="N86" s="217">
        <f t="shared" si="23"/>
        <v>48.250750903867512</v>
      </c>
      <c r="O86">
        <v>1</v>
      </c>
      <c r="P86">
        <v>1</v>
      </c>
      <c r="Q86">
        <v>2</v>
      </c>
      <c r="R86">
        <v>2</v>
      </c>
      <c r="S86">
        <v>2</v>
      </c>
    </row>
    <row r="87" spans="1:19">
      <c r="A87" s="895" t="s">
        <v>180</v>
      </c>
      <c r="B87" s="895">
        <v>2020</v>
      </c>
      <c r="C87" s="895" t="s">
        <v>93</v>
      </c>
      <c r="D87" s="217">
        <v>15.75667537</v>
      </c>
      <c r="E87" s="217">
        <v>5.9236578670000002</v>
      </c>
      <c r="F87" s="217">
        <v>17.326536180000002</v>
      </c>
      <c r="G87" s="217">
        <f t="shared" si="16"/>
        <v>0.25477885711514464</v>
      </c>
      <c r="H87" s="217">
        <f t="shared" si="17"/>
        <v>0.74522114288485541</v>
      </c>
      <c r="I87" s="927">
        <f t="shared" si="18"/>
        <v>1.9091901242970515</v>
      </c>
      <c r="J87" s="927">
        <f t="shared" si="19"/>
        <v>5.5843285527029494</v>
      </c>
      <c r="K87" s="217">
        <f t="shared" si="20"/>
        <v>1.7182711118673464</v>
      </c>
      <c r="L87" s="217">
        <f t="shared" si="21"/>
        <v>2.1001091367267568</v>
      </c>
      <c r="M87" s="217">
        <f t="shared" si="22"/>
        <v>5.025895697432655</v>
      </c>
      <c r="N87" s="217">
        <f t="shared" si="23"/>
        <v>6.1427614079732447</v>
      </c>
      <c r="O87">
        <v>1</v>
      </c>
      <c r="P87">
        <v>1</v>
      </c>
      <c r="Q87">
        <v>2</v>
      </c>
      <c r="R87">
        <v>2</v>
      </c>
      <c r="S87">
        <v>2</v>
      </c>
    </row>
    <row r="88" spans="1:19">
      <c r="A88" s="895" t="s">
        <v>180</v>
      </c>
      <c r="B88" s="895">
        <v>2020</v>
      </c>
      <c r="C88" s="895" t="s">
        <v>90</v>
      </c>
      <c r="D88" s="217">
        <v>10.01020647</v>
      </c>
      <c r="E88" s="217">
        <v>3.5814853499999999</v>
      </c>
      <c r="F88" s="217">
        <v>11.06819829</v>
      </c>
      <c r="G88" s="217">
        <f t="shared" si="16"/>
        <v>0.24447526909188599</v>
      </c>
      <c r="H88" s="217">
        <f t="shared" si="17"/>
        <v>0.75552473090811401</v>
      </c>
      <c r="I88" s="927">
        <f t="shared" si="18"/>
        <v>1.1342374295814115</v>
      </c>
      <c r="J88" s="927">
        <f t="shared" si="19"/>
        <v>3.5052397404185882</v>
      </c>
      <c r="K88" s="217">
        <f t="shared" si="20"/>
        <v>1.0208136866232704</v>
      </c>
      <c r="L88" s="217">
        <f t="shared" si="21"/>
        <v>1.2476611725395528</v>
      </c>
      <c r="M88" s="217">
        <f t="shared" si="22"/>
        <v>3.1547157663767296</v>
      </c>
      <c r="N88" s="217">
        <f t="shared" si="23"/>
        <v>3.8557637144604473</v>
      </c>
      <c r="O88">
        <v>1</v>
      </c>
      <c r="P88">
        <v>1</v>
      </c>
      <c r="Q88">
        <v>2</v>
      </c>
      <c r="R88">
        <v>2</v>
      </c>
      <c r="S88">
        <v>2</v>
      </c>
    </row>
    <row r="89" spans="1:19">
      <c r="A89" s="895" t="s">
        <v>180</v>
      </c>
      <c r="B89" s="895">
        <v>2020</v>
      </c>
      <c r="C89" s="895" t="s">
        <v>92</v>
      </c>
      <c r="D89" s="217">
        <v>19.051081549999999</v>
      </c>
      <c r="E89" s="217">
        <v>4.5528234469999997</v>
      </c>
      <c r="F89" s="217">
        <v>21.841717490000001</v>
      </c>
      <c r="G89" s="217">
        <f t="shared" si="16"/>
        <v>0.17249110177240584</v>
      </c>
      <c r="H89" s="217">
        <f t="shared" si="17"/>
        <v>0.82750889822759421</v>
      </c>
      <c r="I89" s="927">
        <f t="shared" si="18"/>
        <v>1.2666814004845466</v>
      </c>
      <c r="J89" s="927">
        <f t="shared" si="19"/>
        <v>6.0767779865154541</v>
      </c>
      <c r="K89" s="217">
        <f t="shared" si="20"/>
        <v>1.140013260436092</v>
      </c>
      <c r="L89" s="217">
        <f t="shared" si="21"/>
        <v>1.3933495405330014</v>
      </c>
      <c r="M89" s="217">
        <f t="shared" si="22"/>
        <v>5.4691001878639085</v>
      </c>
      <c r="N89" s="217">
        <f t="shared" si="23"/>
        <v>6.6844557851669997</v>
      </c>
      <c r="O89">
        <v>1</v>
      </c>
      <c r="P89">
        <v>1</v>
      </c>
      <c r="Q89">
        <v>2</v>
      </c>
      <c r="R89">
        <v>2</v>
      </c>
      <c r="S89">
        <v>2</v>
      </c>
    </row>
    <row r="90" spans="1:19">
      <c r="A90" s="895" t="s">
        <v>180</v>
      </c>
      <c r="B90" s="895">
        <v>2021</v>
      </c>
      <c r="C90" s="895" t="s">
        <v>99</v>
      </c>
      <c r="D90" s="217">
        <v>10.636048540000001</v>
      </c>
      <c r="E90" s="217">
        <v>2.0552848020000001</v>
      </c>
      <c r="F90" s="217">
        <v>14.414300020000001</v>
      </c>
      <c r="G90" s="217">
        <f t="shared" si="16"/>
        <v>0.12479275125712698</v>
      </c>
      <c r="H90" s="217">
        <f t="shared" si="17"/>
        <v>0.87520724874287303</v>
      </c>
      <c r="I90" s="927">
        <f t="shared" si="18"/>
        <v>0.72798304218905141</v>
      </c>
      <c r="J90" s="927">
        <f t="shared" si="19"/>
        <v>5.1055532398109484</v>
      </c>
      <c r="K90" s="217">
        <f t="shared" si="20"/>
        <v>0.65518473797014631</v>
      </c>
      <c r="L90" s="217">
        <f t="shared" si="21"/>
        <v>0.80078134640795662</v>
      </c>
      <c r="M90" s="217">
        <f t="shared" si="22"/>
        <v>4.594997915829854</v>
      </c>
      <c r="N90" s="217">
        <f t="shared" si="23"/>
        <v>5.6161085637920438</v>
      </c>
      <c r="O90">
        <v>1</v>
      </c>
      <c r="P90">
        <v>1</v>
      </c>
      <c r="Q90">
        <v>2</v>
      </c>
      <c r="R90">
        <v>2</v>
      </c>
      <c r="S90">
        <v>2</v>
      </c>
    </row>
    <row r="91" spans="1:19">
      <c r="A91" s="895" t="s">
        <v>180</v>
      </c>
      <c r="B91" s="895">
        <v>2021</v>
      </c>
      <c r="C91" s="895" t="s">
        <v>98</v>
      </c>
      <c r="D91" s="217">
        <v>22.954113119999999</v>
      </c>
      <c r="E91" s="217">
        <v>4.3991234769999998</v>
      </c>
      <c r="F91" s="217">
        <v>25.566611479999999</v>
      </c>
      <c r="G91" s="217">
        <f t="shared" si="16"/>
        <v>0.1468051253644411</v>
      </c>
      <c r="H91" s="217">
        <f t="shared" si="17"/>
        <v>0.85319487463555888</v>
      </c>
      <c r="I91" s="927">
        <f t="shared" si="18"/>
        <v>1.0293420227888377</v>
      </c>
      <c r="J91" s="927">
        <f t="shared" si="19"/>
        <v>5.9822798142111644</v>
      </c>
      <c r="K91" s="217">
        <f t="shared" si="20"/>
        <v>0.92640782050995396</v>
      </c>
      <c r="L91" s="217">
        <f t="shared" si="21"/>
        <v>1.1322762250677216</v>
      </c>
      <c r="M91" s="217">
        <f t="shared" si="22"/>
        <v>5.384051832790048</v>
      </c>
      <c r="N91" s="217">
        <f t="shared" si="23"/>
        <v>6.5805077956322817</v>
      </c>
      <c r="O91">
        <v>1</v>
      </c>
      <c r="P91">
        <v>1</v>
      </c>
      <c r="Q91">
        <v>2</v>
      </c>
      <c r="R91">
        <v>2</v>
      </c>
      <c r="S91">
        <v>2</v>
      </c>
    </row>
    <row r="92" spans="1:19">
      <c r="A92" s="895" t="s">
        <v>180</v>
      </c>
      <c r="B92" s="895">
        <v>2021</v>
      </c>
      <c r="C92" s="895" t="s">
        <v>95</v>
      </c>
      <c r="D92" s="217">
        <v>28.759489510000002</v>
      </c>
      <c r="E92" s="217">
        <v>6.4446616390000004</v>
      </c>
      <c r="F92" s="217">
        <v>32.316900889999999</v>
      </c>
      <c r="G92" s="217">
        <f t="shared" si="16"/>
        <v>0.16626423752082586</v>
      </c>
      <c r="H92" s="217">
        <f t="shared" si="17"/>
        <v>0.83373576247917414</v>
      </c>
      <c r="I92" s="927">
        <f t="shared" si="18"/>
        <v>1.6629870441316603</v>
      </c>
      <c r="J92" s="927">
        <f t="shared" si="19"/>
        <v>8.3390859748683361</v>
      </c>
      <c r="K92" s="217">
        <f t="shared" si="20"/>
        <v>1.4966883397184942</v>
      </c>
      <c r="L92" s="217">
        <f t="shared" si="21"/>
        <v>1.8292857485448264</v>
      </c>
      <c r="M92" s="217">
        <f t="shared" si="22"/>
        <v>7.5051773773815027</v>
      </c>
      <c r="N92" s="217">
        <f t="shared" si="23"/>
        <v>9.1729945723551705</v>
      </c>
      <c r="O92">
        <v>1</v>
      </c>
      <c r="P92">
        <v>1</v>
      </c>
      <c r="Q92">
        <v>2</v>
      </c>
      <c r="R92">
        <v>2</v>
      </c>
      <c r="S92">
        <v>2</v>
      </c>
    </row>
    <row r="93" spans="1:19">
      <c r="A93" s="895" t="s">
        <v>180</v>
      </c>
      <c r="B93" s="895">
        <v>2021</v>
      </c>
      <c r="C93" s="895" t="s">
        <v>91</v>
      </c>
      <c r="D93" s="217">
        <v>138.68339990000001</v>
      </c>
      <c r="E93" s="217">
        <v>23.285090050000001</v>
      </c>
      <c r="F93" s="217">
        <v>168.05433719999999</v>
      </c>
      <c r="G93" s="217">
        <f t="shared" si="16"/>
        <v>0.12169520095602775</v>
      </c>
      <c r="H93" s="217">
        <f t="shared" si="17"/>
        <v>0.8783047990439723</v>
      </c>
      <c r="I93" s="927">
        <f t="shared" si="18"/>
        <v>6.4079858299043408</v>
      </c>
      <c r="J93" s="927">
        <f t="shared" si="19"/>
        <v>46.24804152009564</v>
      </c>
      <c r="K93" s="217">
        <f t="shared" si="20"/>
        <v>5.7671872469139069</v>
      </c>
      <c r="L93" s="217">
        <f t="shared" si="21"/>
        <v>7.0487844128947756</v>
      </c>
      <c r="M93" s="217">
        <f t="shared" si="22"/>
        <v>41.62323736808608</v>
      </c>
      <c r="N93" s="217">
        <f t="shared" si="23"/>
        <v>50.872845672105207</v>
      </c>
      <c r="O93">
        <v>1</v>
      </c>
      <c r="P93">
        <v>1</v>
      </c>
      <c r="Q93">
        <v>2</v>
      </c>
      <c r="R93">
        <v>2</v>
      </c>
      <c r="S93">
        <v>2</v>
      </c>
    </row>
    <row r="94" spans="1:19">
      <c r="A94" s="895" t="s">
        <v>180</v>
      </c>
      <c r="B94" s="895">
        <v>2021</v>
      </c>
      <c r="C94" s="895" t="s">
        <v>93</v>
      </c>
      <c r="D94" s="217">
        <v>17.910293410000001</v>
      </c>
      <c r="E94" s="217">
        <v>7.9345653519999999</v>
      </c>
      <c r="F94" s="217">
        <v>17.79103666</v>
      </c>
      <c r="G94" s="217">
        <f t="shared" si="16"/>
        <v>0.30843069671601198</v>
      </c>
      <c r="H94" s="217">
        <f t="shared" si="17"/>
        <v>0.69156930328398802</v>
      </c>
      <c r="I94" s="927">
        <f t="shared" si="18"/>
        <v>2.4104810771655014</v>
      </c>
      <c r="J94" s="927">
        <f t="shared" si="19"/>
        <v>5.4048275248344968</v>
      </c>
      <c r="K94" s="217">
        <f t="shared" si="20"/>
        <v>2.1694329694489514</v>
      </c>
      <c r="L94" s="217">
        <f t="shared" si="21"/>
        <v>2.6515291848820519</v>
      </c>
      <c r="M94" s="217">
        <f t="shared" si="22"/>
        <v>4.8643447723510471</v>
      </c>
      <c r="N94" s="217">
        <f t="shared" si="23"/>
        <v>5.9453102773179474</v>
      </c>
      <c r="O94">
        <v>1</v>
      </c>
      <c r="P94">
        <v>1</v>
      </c>
      <c r="Q94">
        <v>2</v>
      </c>
      <c r="R94">
        <v>2</v>
      </c>
      <c r="S94">
        <v>2</v>
      </c>
    </row>
    <row r="95" spans="1:19">
      <c r="A95" s="895" t="s">
        <v>180</v>
      </c>
      <c r="B95" s="895">
        <v>2021</v>
      </c>
      <c r="C95" s="895" t="s">
        <v>90</v>
      </c>
      <c r="D95" s="217">
        <v>11.319748390000001</v>
      </c>
      <c r="E95" s="217">
        <v>4.7744769639999998</v>
      </c>
      <c r="F95" s="217">
        <v>11.41472343</v>
      </c>
      <c r="G95" s="217">
        <f t="shared" si="16"/>
        <v>0.29491740467734923</v>
      </c>
      <c r="H95" s="217">
        <f t="shared" si="17"/>
        <v>0.70508259532265072</v>
      </c>
      <c r="I95" s="927">
        <f t="shared" si="18"/>
        <v>1.436086147220597</v>
      </c>
      <c r="J95" s="927">
        <f t="shared" si="19"/>
        <v>3.4333658567794032</v>
      </c>
      <c r="K95" s="217">
        <f t="shared" si="20"/>
        <v>1.2924775324985374</v>
      </c>
      <c r="L95" s="217">
        <f t="shared" si="21"/>
        <v>1.5796947619426569</v>
      </c>
      <c r="M95" s="217">
        <f t="shared" si="22"/>
        <v>3.090029271101463</v>
      </c>
      <c r="N95" s="217">
        <f t="shared" si="23"/>
        <v>3.7767024424573439</v>
      </c>
      <c r="O95">
        <v>1</v>
      </c>
      <c r="P95">
        <v>1</v>
      </c>
      <c r="Q95">
        <v>2</v>
      </c>
      <c r="R95">
        <v>2</v>
      </c>
      <c r="S95">
        <v>2</v>
      </c>
    </row>
    <row r="96" spans="1:19">
      <c r="A96" s="895" t="s">
        <v>180</v>
      </c>
      <c r="B96" s="895">
        <v>2021</v>
      </c>
      <c r="C96" s="895" t="s">
        <v>92</v>
      </c>
      <c r="D96" s="217">
        <v>20.84425302</v>
      </c>
      <c r="E96" s="217">
        <v>5.7810060999999999</v>
      </c>
      <c r="F96" s="217">
        <v>23.256855089999998</v>
      </c>
      <c r="G96" s="217">
        <f t="shared" si="16"/>
        <v>0.19908512070409826</v>
      </c>
      <c r="H96" s="217">
        <f t="shared" si="17"/>
        <v>0.80091487929590177</v>
      </c>
      <c r="I96" s="927">
        <f t="shared" si="18"/>
        <v>1.6312254715265357</v>
      </c>
      <c r="J96" s="927">
        <f t="shared" si="19"/>
        <v>6.5623826984734634</v>
      </c>
      <c r="K96" s="217">
        <f t="shared" si="20"/>
        <v>1.4681029243738821</v>
      </c>
      <c r="L96" s="217">
        <f t="shared" si="21"/>
        <v>1.7943480186791894</v>
      </c>
      <c r="M96" s="217">
        <f t="shared" si="22"/>
        <v>5.9061444286261171</v>
      </c>
      <c r="N96" s="217">
        <f t="shared" si="23"/>
        <v>7.2186209683208107</v>
      </c>
      <c r="O96">
        <v>1</v>
      </c>
      <c r="P96">
        <v>1</v>
      </c>
      <c r="Q96">
        <v>2</v>
      </c>
      <c r="R96">
        <v>2</v>
      </c>
      <c r="S96">
        <v>2</v>
      </c>
    </row>
    <row r="97" spans="1:19">
      <c r="A97" s="895" t="s">
        <v>180</v>
      </c>
      <c r="B97" s="895">
        <v>2022</v>
      </c>
      <c r="C97" s="895" t="s">
        <v>99</v>
      </c>
      <c r="D97" s="217">
        <v>13.08068568</v>
      </c>
      <c r="E97" s="217">
        <v>2.5444195930000002</v>
      </c>
      <c r="F97" s="217">
        <v>20.511336790000001</v>
      </c>
      <c r="G97" s="217">
        <f t="shared" si="16"/>
        <v>0.11035940659383918</v>
      </c>
      <c r="H97" s="217">
        <f t="shared" si="17"/>
        <v>0.88964059340616086</v>
      </c>
      <c r="I97" s="927">
        <f t="shared" si="18"/>
        <v>1.1008428835146704</v>
      </c>
      <c r="J97" s="927">
        <f t="shared" si="19"/>
        <v>8.8742278194853306</v>
      </c>
      <c r="K97" s="217">
        <f t="shared" si="20"/>
        <v>0.99075859516320341</v>
      </c>
      <c r="L97" s="217">
        <f t="shared" si="21"/>
        <v>1.2109271718661376</v>
      </c>
      <c r="M97" s="217">
        <f t="shared" si="22"/>
        <v>7.986805037536798</v>
      </c>
      <c r="N97" s="217">
        <f t="shared" si="23"/>
        <v>9.761650601433864</v>
      </c>
      <c r="O97">
        <v>1</v>
      </c>
      <c r="P97">
        <v>1</v>
      </c>
      <c r="Q97">
        <v>2</v>
      </c>
      <c r="R97">
        <v>2</v>
      </c>
      <c r="S97">
        <v>2</v>
      </c>
    </row>
    <row r="98" spans="1:19">
      <c r="A98" s="895" t="s">
        <v>180</v>
      </c>
      <c r="B98" s="895">
        <v>2022</v>
      </c>
      <c r="C98" s="895" t="s">
        <v>98</v>
      </c>
      <c r="D98" s="217">
        <v>25.212539079999999</v>
      </c>
      <c r="E98" s="217">
        <v>5.2280866169999998</v>
      </c>
      <c r="F98" s="217">
        <v>35.846355090000003</v>
      </c>
      <c r="G98" s="217">
        <f t="shared" si="16"/>
        <v>0.12728320580213795</v>
      </c>
      <c r="H98" s="217">
        <f t="shared" si="17"/>
        <v>0.87271679419786208</v>
      </c>
      <c r="I98" s="927">
        <f t="shared" si="18"/>
        <v>2.0189538164859142</v>
      </c>
      <c r="J98" s="927">
        <f t="shared" si="19"/>
        <v>13.842948810514088</v>
      </c>
      <c r="K98" s="217">
        <f t="shared" si="20"/>
        <v>1.8170584348373229</v>
      </c>
      <c r="L98" s="217">
        <f t="shared" si="21"/>
        <v>2.220849198134506</v>
      </c>
      <c r="M98" s="217">
        <f t="shared" si="22"/>
        <v>12.458653929462679</v>
      </c>
      <c r="N98" s="217">
        <f t="shared" si="23"/>
        <v>15.227243691565498</v>
      </c>
      <c r="O98">
        <v>1</v>
      </c>
      <c r="P98">
        <v>1</v>
      </c>
      <c r="Q98">
        <v>2</v>
      </c>
      <c r="R98">
        <v>2</v>
      </c>
      <c r="S98">
        <v>2</v>
      </c>
    </row>
    <row r="99" spans="1:19">
      <c r="A99" s="895" t="s">
        <v>180</v>
      </c>
      <c r="B99" s="895">
        <v>2022</v>
      </c>
      <c r="C99" s="895" t="s">
        <v>95</v>
      </c>
      <c r="D99" s="217">
        <v>32.628676579999997</v>
      </c>
      <c r="E99" s="217">
        <v>7.3373571249999996</v>
      </c>
      <c r="F99" s="217">
        <v>46.393903379999998</v>
      </c>
      <c r="G99" s="217">
        <f t="shared" si="16"/>
        <v>0.1365565790945332</v>
      </c>
      <c r="H99" s="217">
        <f t="shared" si="17"/>
        <v>0.86344342090546677</v>
      </c>
      <c r="I99" s="927">
        <f t="shared" si="18"/>
        <v>2.8816966708532874</v>
      </c>
      <c r="J99" s="927">
        <f t="shared" si="19"/>
        <v>18.220887254146714</v>
      </c>
      <c r="K99" s="217">
        <f t="shared" si="20"/>
        <v>2.5935270037679587</v>
      </c>
      <c r="L99" s="217">
        <f t="shared" si="21"/>
        <v>3.1698663379386165</v>
      </c>
      <c r="M99" s="217">
        <f t="shared" si="22"/>
        <v>16.398798528732044</v>
      </c>
      <c r="N99" s="217">
        <f t="shared" si="23"/>
        <v>20.042975979561387</v>
      </c>
      <c r="O99">
        <v>1</v>
      </c>
      <c r="P99">
        <v>1</v>
      </c>
      <c r="Q99">
        <v>2</v>
      </c>
      <c r="R99">
        <v>2</v>
      </c>
      <c r="S99">
        <v>2</v>
      </c>
    </row>
    <row r="100" spans="1:19">
      <c r="A100" s="895" t="s">
        <v>180</v>
      </c>
      <c r="B100" s="895">
        <v>2022</v>
      </c>
      <c r="C100" s="895" t="s">
        <v>91</v>
      </c>
      <c r="D100" s="217">
        <v>153.51939849999999</v>
      </c>
      <c r="E100" s="217">
        <v>25.664842270000001</v>
      </c>
      <c r="F100" s="217">
        <v>232.3329928</v>
      </c>
      <c r="G100" s="217">
        <f t="shared" si="16"/>
        <v>9.9476967560741786E-2</v>
      </c>
      <c r="H100" s="217">
        <f t="shared" si="17"/>
        <v>0.90052303243925824</v>
      </c>
      <c r="I100" s="927">
        <f t="shared" si="18"/>
        <v>10.393198045470911</v>
      </c>
      <c r="J100" s="927">
        <f t="shared" si="19"/>
        <v>94.085238524529103</v>
      </c>
      <c r="K100" s="217">
        <f t="shared" si="20"/>
        <v>9.3538782409238195</v>
      </c>
      <c r="L100" s="217">
        <f t="shared" si="21"/>
        <v>11.432517850018003</v>
      </c>
      <c r="M100" s="217">
        <f t="shared" si="22"/>
        <v>84.676714672076201</v>
      </c>
      <c r="N100" s="217">
        <f t="shared" si="23"/>
        <v>103.49376237698202</v>
      </c>
      <c r="O100">
        <v>1</v>
      </c>
      <c r="P100">
        <v>1</v>
      </c>
      <c r="Q100">
        <v>2</v>
      </c>
      <c r="R100">
        <v>2</v>
      </c>
      <c r="S100">
        <v>2</v>
      </c>
    </row>
    <row r="101" spans="1:19">
      <c r="A101" s="895" t="s">
        <v>180</v>
      </c>
      <c r="B101" s="895">
        <v>2022</v>
      </c>
      <c r="C101" s="895" t="s">
        <v>93</v>
      </c>
      <c r="D101" s="217">
        <v>20.63470693</v>
      </c>
      <c r="E101" s="217">
        <v>7.2385863779999999</v>
      </c>
      <c r="F101" s="217">
        <v>24.117724599999999</v>
      </c>
      <c r="G101" s="217">
        <f t="shared" si="16"/>
        <v>0.23084942559342161</v>
      </c>
      <c r="H101" s="217">
        <f t="shared" si="17"/>
        <v>0.76915057440657841</v>
      </c>
      <c r="I101" s="927">
        <f t="shared" si="18"/>
        <v>2.4750761359209035</v>
      </c>
      <c r="J101" s="927">
        <f t="shared" si="19"/>
        <v>8.2465279120790953</v>
      </c>
      <c r="K101" s="217">
        <f t="shared" si="20"/>
        <v>2.2275685223288133</v>
      </c>
      <c r="L101" s="217">
        <f t="shared" si="21"/>
        <v>2.7225837495129941</v>
      </c>
      <c r="M101" s="217">
        <f t="shared" si="22"/>
        <v>7.4218751208711859</v>
      </c>
      <c r="N101" s="217">
        <f t="shared" si="23"/>
        <v>9.0711807032870055</v>
      </c>
      <c r="O101">
        <v>1</v>
      </c>
      <c r="P101">
        <v>1</v>
      </c>
      <c r="Q101">
        <v>2</v>
      </c>
      <c r="R101">
        <v>2</v>
      </c>
      <c r="S101">
        <v>2</v>
      </c>
    </row>
    <row r="102" spans="1:19">
      <c r="A102" s="895" t="s">
        <v>180</v>
      </c>
      <c r="B102" s="895">
        <v>2022</v>
      </c>
      <c r="C102" s="895" t="s">
        <v>90</v>
      </c>
      <c r="D102" s="217">
        <v>13.020417070000001</v>
      </c>
      <c r="E102" s="217">
        <v>4.393412573</v>
      </c>
      <c r="F102" s="217">
        <v>15.46486075</v>
      </c>
      <c r="G102" s="217">
        <f t="shared" si="16"/>
        <v>0.22123839779723029</v>
      </c>
      <c r="H102" s="217">
        <f t="shared" si="17"/>
        <v>0.77876160220276969</v>
      </c>
      <c r="I102" s="927">
        <f t="shared" si="18"/>
        <v>1.5127963617814921</v>
      </c>
      <c r="J102" s="927">
        <f t="shared" si="19"/>
        <v>5.3250598912185065</v>
      </c>
      <c r="K102" s="217">
        <f t="shared" si="20"/>
        <v>1.3615167256033429</v>
      </c>
      <c r="L102" s="217">
        <f t="shared" si="21"/>
        <v>1.6640759979596416</v>
      </c>
      <c r="M102" s="217">
        <f t="shared" si="22"/>
        <v>4.7925539020966559</v>
      </c>
      <c r="N102" s="217">
        <f t="shared" si="23"/>
        <v>5.8575658803403581</v>
      </c>
      <c r="O102">
        <v>1</v>
      </c>
      <c r="P102">
        <v>1</v>
      </c>
      <c r="Q102">
        <v>2</v>
      </c>
      <c r="R102">
        <v>2</v>
      </c>
      <c r="S102">
        <v>2</v>
      </c>
    </row>
    <row r="103" spans="1:19">
      <c r="A103" s="895" t="s">
        <v>180</v>
      </c>
      <c r="B103" s="895">
        <v>2022</v>
      </c>
      <c r="C103" s="895" t="s">
        <v>92</v>
      </c>
      <c r="D103" s="217">
        <v>23.736616919999999</v>
      </c>
      <c r="E103" s="217">
        <v>5.709648864</v>
      </c>
      <c r="F103" s="217">
        <v>31.254233500000002</v>
      </c>
      <c r="G103" s="217">
        <f t="shared" si="16"/>
        <v>0.15446561613237797</v>
      </c>
      <c r="H103" s="217">
        <f t="shared" si="17"/>
        <v>0.84553438386762203</v>
      </c>
      <c r="I103" s="927">
        <f t="shared" si="18"/>
        <v>2.0431577065539721</v>
      </c>
      <c r="J103" s="927">
        <f t="shared" si="19"/>
        <v>11.18410773744603</v>
      </c>
      <c r="K103" s="217">
        <f t="shared" si="20"/>
        <v>1.838841935898575</v>
      </c>
      <c r="L103" s="217">
        <f t="shared" si="21"/>
        <v>2.2474734772093696</v>
      </c>
      <c r="M103" s="217">
        <f t="shared" si="22"/>
        <v>10.065696963701427</v>
      </c>
      <c r="N103" s="217">
        <f t="shared" si="23"/>
        <v>12.302518511190634</v>
      </c>
      <c r="O103">
        <v>1</v>
      </c>
      <c r="P103">
        <v>1</v>
      </c>
      <c r="Q103">
        <v>2</v>
      </c>
      <c r="R103">
        <v>2</v>
      </c>
      <c r="S103">
        <v>2</v>
      </c>
    </row>
    <row r="105" spans="1:19">
      <c r="A105" t="s">
        <v>2026</v>
      </c>
    </row>
    <row r="106" spans="1:19" s="1070" customFormat="1">
      <c r="A106" s="1068" t="s">
        <v>2019</v>
      </c>
    </row>
    <row r="107" spans="1:19" s="1070" customFormat="1" ht="15" thickBot="1"/>
    <row r="108" spans="1:19">
      <c r="A108" s="895" t="s">
        <v>1022</v>
      </c>
      <c r="B108" s="895" t="s">
        <v>101</v>
      </c>
      <c r="C108" s="895" t="s">
        <v>102</v>
      </c>
      <c r="D108" t="s">
        <v>245</v>
      </c>
      <c r="E108" t="s">
        <v>2014</v>
      </c>
      <c r="F108" t="s">
        <v>523</v>
      </c>
      <c r="G108" t="s">
        <v>2022</v>
      </c>
      <c r="H108" t="s">
        <v>2023</v>
      </c>
      <c r="I108" s="895" t="s">
        <v>2017</v>
      </c>
      <c r="J108" s="895" t="s">
        <v>2024</v>
      </c>
      <c r="K108" s="895" t="s">
        <v>2037</v>
      </c>
      <c r="L108" s="895" t="s">
        <v>2035</v>
      </c>
      <c r="M108" s="895" t="s">
        <v>2158</v>
      </c>
      <c r="N108" s="895" t="s">
        <v>2159</v>
      </c>
      <c r="O108" s="419" t="s">
        <v>105</v>
      </c>
      <c r="P108" s="420" t="s">
        <v>65</v>
      </c>
      <c r="Q108" s="420" t="s">
        <v>67</v>
      </c>
      <c r="R108" s="420" t="s">
        <v>73</v>
      </c>
      <c r="S108" s="421" t="s">
        <v>79</v>
      </c>
    </row>
    <row r="109" spans="1:19">
      <c r="A109" s="895" t="s">
        <v>182</v>
      </c>
      <c r="B109" s="895">
        <v>2011</v>
      </c>
      <c r="C109" s="895" t="s">
        <v>99</v>
      </c>
      <c r="D109" s="217">
        <v>15.08742638</v>
      </c>
      <c r="E109" s="217">
        <v>154.79480140000001</v>
      </c>
      <c r="F109" s="217">
        <v>31.04052914</v>
      </c>
      <c r="G109" s="217">
        <f t="shared" ref="G109:G140" si="24">E109/(E109+F109)</f>
        <v>0.8329675576231792</v>
      </c>
      <c r="H109" s="217">
        <f t="shared" ref="H109:H140" si="25">1-G109</f>
        <v>0.1670324423768208</v>
      </c>
      <c r="I109" s="927">
        <f t="shared" ref="I109:I140" si="26">E109-(D109*G109)</f>
        <v>142.22746469743188</v>
      </c>
      <c r="J109" s="927">
        <f t="shared" ref="J109:J140" si="27">F109-(D109*H109)</f>
        <v>28.520439462568124</v>
      </c>
      <c r="K109" s="217">
        <f t="shared" ref="K109:K140" si="28">I109*$B$5</f>
        <v>128.0047182276887</v>
      </c>
      <c r="L109" s="217">
        <f t="shared" ref="L109:L140" si="29">I109*$B$4</f>
        <v>156.4502111671751</v>
      </c>
      <c r="M109" s="217">
        <f t="shared" ref="M109:M140" si="30">J109*$B$7</f>
        <v>32.972480062675011</v>
      </c>
      <c r="N109" s="217">
        <f t="shared" ref="N109:N140" si="31">J109*$B$6</f>
        <v>38.944660086136778</v>
      </c>
      <c r="O109">
        <v>1</v>
      </c>
      <c r="P109">
        <v>1</v>
      </c>
      <c r="Q109">
        <v>2</v>
      </c>
      <c r="R109">
        <v>2</v>
      </c>
      <c r="S109">
        <v>2</v>
      </c>
    </row>
    <row r="110" spans="1:19">
      <c r="A110" s="895" t="s">
        <v>182</v>
      </c>
      <c r="B110" s="895">
        <v>2011</v>
      </c>
      <c r="C110" s="895" t="s">
        <v>98</v>
      </c>
      <c r="D110" s="217">
        <v>29.651739729999999</v>
      </c>
      <c r="E110" s="217">
        <v>284.40419350000002</v>
      </c>
      <c r="F110" s="217">
        <v>56.096029889999997</v>
      </c>
      <c r="G110" s="217">
        <f t="shared" si="24"/>
        <v>0.83525405848045775</v>
      </c>
      <c r="H110" s="217">
        <f t="shared" si="25"/>
        <v>0.16474594151954225</v>
      </c>
      <c r="I110" s="927">
        <f t="shared" si="26"/>
        <v>259.63745754951128</v>
      </c>
      <c r="J110" s="927">
        <f t="shared" si="27"/>
        <v>51.211026110488731</v>
      </c>
      <c r="K110" s="217">
        <f t="shared" si="28"/>
        <v>233.67371179456015</v>
      </c>
      <c r="L110" s="217">
        <f t="shared" si="29"/>
        <v>285.60120330446244</v>
      </c>
      <c r="M110" s="217">
        <f t="shared" si="30"/>
        <v>59.205067286336032</v>
      </c>
      <c r="N110" s="217">
        <f t="shared" si="31"/>
        <v>69.928656153872367</v>
      </c>
      <c r="O110">
        <v>1</v>
      </c>
      <c r="P110">
        <v>1</v>
      </c>
      <c r="Q110">
        <v>2</v>
      </c>
      <c r="R110">
        <v>2</v>
      </c>
      <c r="S110">
        <v>2</v>
      </c>
    </row>
    <row r="111" spans="1:19">
      <c r="A111" s="895" t="s">
        <v>182</v>
      </c>
      <c r="B111" s="895">
        <v>2011</v>
      </c>
      <c r="C111" s="895" t="s">
        <v>95</v>
      </c>
      <c r="D111" s="217">
        <v>42.148068649999999</v>
      </c>
      <c r="E111" s="217">
        <v>344.29726210000001</v>
      </c>
      <c r="F111" s="217">
        <v>100.021653</v>
      </c>
      <c r="G111" s="217">
        <f t="shared" si="24"/>
        <v>0.77488769980119176</v>
      </c>
      <c r="H111" s="217">
        <f t="shared" si="25"/>
        <v>0.22511230019880824</v>
      </c>
      <c r="I111" s="927">
        <f t="shared" si="26"/>
        <v>311.63724213273878</v>
      </c>
      <c r="J111" s="927">
        <f t="shared" si="27"/>
        <v>90.533604317261222</v>
      </c>
      <c r="K111" s="217">
        <f t="shared" si="28"/>
        <v>280.47351791946488</v>
      </c>
      <c r="L111" s="217">
        <f t="shared" si="29"/>
        <v>342.80096634601267</v>
      </c>
      <c r="M111" s="217">
        <f t="shared" si="30"/>
        <v>104.66589995118571</v>
      </c>
      <c r="N111" s="217">
        <f t="shared" si="31"/>
        <v>123.62363669522021</v>
      </c>
      <c r="O111">
        <v>1</v>
      </c>
      <c r="P111">
        <v>1</v>
      </c>
      <c r="Q111">
        <v>2</v>
      </c>
      <c r="R111">
        <v>2</v>
      </c>
      <c r="S111">
        <v>2</v>
      </c>
    </row>
    <row r="112" spans="1:19">
      <c r="A112" s="895" t="s">
        <v>182</v>
      </c>
      <c r="B112" s="895">
        <v>2011</v>
      </c>
      <c r="C112" s="895" t="s">
        <v>91</v>
      </c>
      <c r="D112" s="217">
        <v>158.32008310000001</v>
      </c>
      <c r="E112" s="217">
        <v>1556.854681</v>
      </c>
      <c r="F112" s="217">
        <v>265.83068479999997</v>
      </c>
      <c r="G112" s="217">
        <f t="shared" si="24"/>
        <v>0.85415437585228893</v>
      </c>
      <c r="H112" s="217">
        <f t="shared" si="25"/>
        <v>0.14584562414771107</v>
      </c>
      <c r="I112" s="927">
        <f t="shared" si="26"/>
        <v>1421.6248892348369</v>
      </c>
      <c r="J112" s="927">
        <f t="shared" si="27"/>
        <v>242.74039346516298</v>
      </c>
      <c r="K112" s="217">
        <f t="shared" si="28"/>
        <v>1279.4624003113533</v>
      </c>
      <c r="L112" s="217">
        <f t="shared" si="29"/>
        <v>1563.7873781583207</v>
      </c>
      <c r="M112" s="217">
        <f t="shared" si="30"/>
        <v>280.63216888507498</v>
      </c>
      <c r="N112" s="217">
        <f t="shared" si="31"/>
        <v>331.46200727668008</v>
      </c>
      <c r="O112">
        <v>1</v>
      </c>
      <c r="P112">
        <v>1</v>
      </c>
      <c r="Q112">
        <v>2</v>
      </c>
      <c r="R112">
        <v>2</v>
      </c>
      <c r="S112">
        <v>2</v>
      </c>
    </row>
    <row r="113" spans="1:19">
      <c r="A113" s="895" t="s">
        <v>182</v>
      </c>
      <c r="B113" s="895">
        <v>2011</v>
      </c>
      <c r="C113" s="895" t="s">
        <v>93</v>
      </c>
      <c r="D113" s="217">
        <v>33.500468339999998</v>
      </c>
      <c r="E113" s="217">
        <v>193.65664330000001</v>
      </c>
      <c r="F113" s="217">
        <v>75.589643609999996</v>
      </c>
      <c r="G113" s="217">
        <f t="shared" si="24"/>
        <v>0.71925464793775573</v>
      </c>
      <c r="H113" s="217">
        <f t="shared" si="25"/>
        <v>0.28074535206224427</v>
      </c>
      <c r="I113" s="927">
        <f t="shared" si="26"/>
        <v>169.56127573836338</v>
      </c>
      <c r="J113" s="927">
        <f t="shared" si="27"/>
        <v>66.184542831636634</v>
      </c>
      <c r="K113" s="217">
        <f t="shared" si="28"/>
        <v>152.60514816452704</v>
      </c>
      <c r="L113" s="217">
        <f t="shared" si="29"/>
        <v>186.51740331219972</v>
      </c>
      <c r="M113" s="217">
        <f t="shared" si="30"/>
        <v>76.515949967655118</v>
      </c>
      <c r="N113" s="217">
        <f t="shared" si="31"/>
        <v>90.374993236599835</v>
      </c>
      <c r="O113">
        <v>1</v>
      </c>
      <c r="P113">
        <v>1</v>
      </c>
      <c r="Q113">
        <v>2</v>
      </c>
      <c r="R113">
        <v>2</v>
      </c>
      <c r="S113">
        <v>2</v>
      </c>
    </row>
    <row r="114" spans="1:19">
      <c r="A114" s="895" t="s">
        <v>182</v>
      </c>
      <c r="B114" s="895">
        <v>2011</v>
      </c>
      <c r="C114" s="895" t="s">
        <v>90</v>
      </c>
      <c r="D114" s="217">
        <v>20.625658730000001</v>
      </c>
      <c r="E114" s="217">
        <v>125.237415</v>
      </c>
      <c r="F114" s="217">
        <v>45.630431780000002</v>
      </c>
      <c r="G114" s="217">
        <f t="shared" si="24"/>
        <v>0.7329489857810918</v>
      </c>
      <c r="H114" s="217">
        <f t="shared" si="25"/>
        <v>0.2670510142189082</v>
      </c>
      <c r="I114" s="927">
        <f t="shared" si="26"/>
        <v>110.11985935277957</v>
      </c>
      <c r="J114" s="927">
        <f t="shared" si="27"/>
        <v>40.122328697220425</v>
      </c>
      <c r="K114" s="217">
        <f t="shared" si="28"/>
        <v>99.107873417501622</v>
      </c>
      <c r="L114" s="217">
        <f t="shared" si="29"/>
        <v>121.13184528805753</v>
      </c>
      <c r="M114" s="217">
        <f t="shared" si="30"/>
        <v>46.385424206856541</v>
      </c>
      <c r="N114" s="217">
        <f t="shared" si="31"/>
        <v>54.787039836054497</v>
      </c>
      <c r="O114">
        <v>1</v>
      </c>
      <c r="P114">
        <v>1</v>
      </c>
      <c r="Q114">
        <v>2</v>
      </c>
      <c r="R114">
        <v>2</v>
      </c>
      <c r="S114">
        <v>2</v>
      </c>
    </row>
    <row r="115" spans="1:19">
      <c r="A115" s="895" t="s">
        <v>182</v>
      </c>
      <c r="B115" s="895">
        <v>2011</v>
      </c>
      <c r="C115" s="895" t="s">
        <v>92</v>
      </c>
      <c r="D115" s="217">
        <v>30.545550840000001</v>
      </c>
      <c r="E115" s="217">
        <v>265.05502430000001</v>
      </c>
      <c r="F115" s="217">
        <v>55.296749079999998</v>
      </c>
      <c r="G115" s="217">
        <f t="shared" si="24"/>
        <v>0.82738741073111777</v>
      </c>
      <c r="H115" s="217">
        <f t="shared" si="25"/>
        <v>0.17261258926888223</v>
      </c>
      <c r="I115" s="927">
        <f t="shared" si="26"/>
        <v>239.78202008113669</v>
      </c>
      <c r="J115" s="927">
        <f t="shared" si="27"/>
        <v>50.024202458863314</v>
      </c>
      <c r="K115" s="217">
        <f t="shared" si="28"/>
        <v>215.80381807302302</v>
      </c>
      <c r="L115" s="217">
        <f t="shared" si="29"/>
        <v>263.76022208925036</v>
      </c>
      <c r="M115" s="217">
        <f t="shared" si="30"/>
        <v>57.832980462691886</v>
      </c>
      <c r="N115" s="217">
        <f t="shared" si="31"/>
        <v>68.308048457577868</v>
      </c>
      <c r="O115">
        <v>1</v>
      </c>
      <c r="P115">
        <v>1</v>
      </c>
      <c r="Q115">
        <v>2</v>
      </c>
      <c r="R115">
        <v>2</v>
      </c>
      <c r="S115">
        <v>2</v>
      </c>
    </row>
    <row r="116" spans="1:19">
      <c r="A116" s="895" t="s">
        <v>182</v>
      </c>
      <c r="B116" s="895">
        <v>2012</v>
      </c>
      <c r="C116" s="895" t="s">
        <v>99</v>
      </c>
      <c r="D116" s="217">
        <v>14.663942860000001</v>
      </c>
      <c r="E116" s="217">
        <v>118.0618427</v>
      </c>
      <c r="F116" s="217">
        <v>29.262289840000001</v>
      </c>
      <c r="G116" s="217">
        <f t="shared" si="24"/>
        <v>0.80137476911968253</v>
      </c>
      <c r="H116" s="217">
        <f t="shared" si="25"/>
        <v>0.19862523088031747</v>
      </c>
      <c r="I116" s="927">
        <f t="shared" si="26"/>
        <v>106.31052887618328</v>
      </c>
      <c r="J116" s="927">
        <f t="shared" si="27"/>
        <v>26.349660803816718</v>
      </c>
      <c r="K116" s="217">
        <f t="shared" si="28"/>
        <v>95.67947598856496</v>
      </c>
      <c r="L116" s="217">
        <f t="shared" si="29"/>
        <v>116.94158176380162</v>
      </c>
      <c r="M116" s="217">
        <f t="shared" si="30"/>
        <v>30.462842855292511</v>
      </c>
      <c r="N116" s="217">
        <f t="shared" si="31"/>
        <v>35.980461827611734</v>
      </c>
      <c r="O116">
        <v>1</v>
      </c>
      <c r="P116">
        <v>1</v>
      </c>
      <c r="Q116">
        <v>2</v>
      </c>
      <c r="R116">
        <v>2</v>
      </c>
      <c r="S116">
        <v>2</v>
      </c>
    </row>
    <row r="117" spans="1:19">
      <c r="A117" s="895" t="s">
        <v>182</v>
      </c>
      <c r="B117" s="895">
        <v>2012</v>
      </c>
      <c r="C117" s="895" t="s">
        <v>98</v>
      </c>
      <c r="D117" s="217">
        <v>29.374202709999999</v>
      </c>
      <c r="E117" s="217">
        <v>231.35441180000001</v>
      </c>
      <c r="F117" s="217">
        <v>48.807084379999999</v>
      </c>
      <c r="G117" s="217">
        <f t="shared" si="24"/>
        <v>0.82578946412878196</v>
      </c>
      <c r="H117" s="217">
        <f t="shared" si="25"/>
        <v>0.17421053587121804</v>
      </c>
      <c r="I117" s="927">
        <f t="shared" si="26"/>
        <v>207.09750468489889</v>
      </c>
      <c r="J117" s="927">
        <f t="shared" si="27"/>
        <v>43.689788785101115</v>
      </c>
      <c r="K117" s="217">
        <f t="shared" si="28"/>
        <v>186.38775421640901</v>
      </c>
      <c r="L117" s="217">
        <f t="shared" si="29"/>
        <v>227.80725515338881</v>
      </c>
      <c r="M117" s="217">
        <f t="shared" si="30"/>
        <v>50.509764814455401</v>
      </c>
      <c r="N117" s="217">
        <f t="shared" si="31"/>
        <v>59.658406586055577</v>
      </c>
      <c r="O117">
        <v>1</v>
      </c>
      <c r="P117">
        <v>1</v>
      </c>
      <c r="Q117">
        <v>2</v>
      </c>
      <c r="R117">
        <v>2</v>
      </c>
      <c r="S117">
        <v>2</v>
      </c>
    </row>
    <row r="118" spans="1:19">
      <c r="A118" s="895" t="s">
        <v>182</v>
      </c>
      <c r="B118" s="895">
        <v>2012</v>
      </c>
      <c r="C118" s="895" t="s">
        <v>95</v>
      </c>
      <c r="D118" s="217">
        <v>38.307417479999998</v>
      </c>
      <c r="E118" s="217">
        <v>255.0306353</v>
      </c>
      <c r="F118" s="217">
        <v>86.77579772</v>
      </c>
      <c r="G118" s="217">
        <f t="shared" si="24"/>
        <v>0.74612590830049563</v>
      </c>
      <c r="H118" s="217">
        <f t="shared" si="25"/>
        <v>0.25387409169950437</v>
      </c>
      <c r="I118" s="927">
        <f t="shared" si="26"/>
        <v>226.44847863808872</v>
      </c>
      <c r="J118" s="927">
        <f t="shared" si="27"/>
        <v>77.050536901911286</v>
      </c>
      <c r="K118" s="217">
        <f t="shared" si="28"/>
        <v>203.80363077427984</v>
      </c>
      <c r="L118" s="217">
        <f t="shared" si="29"/>
        <v>249.09332650189762</v>
      </c>
      <c r="M118" s="217">
        <f t="shared" si="30"/>
        <v>89.078125712299652</v>
      </c>
      <c r="N118" s="217">
        <f t="shared" si="31"/>
        <v>105.21250813955987</v>
      </c>
      <c r="O118">
        <v>1</v>
      </c>
      <c r="P118">
        <v>1</v>
      </c>
      <c r="Q118">
        <v>2</v>
      </c>
      <c r="R118">
        <v>2</v>
      </c>
      <c r="S118">
        <v>2</v>
      </c>
    </row>
    <row r="119" spans="1:19">
      <c r="A119" s="895" t="s">
        <v>182</v>
      </c>
      <c r="B119" s="895">
        <v>2012</v>
      </c>
      <c r="C119" s="895" t="s">
        <v>91</v>
      </c>
      <c r="D119" s="217">
        <v>166.03043750000001</v>
      </c>
      <c r="E119" s="217">
        <v>1356.107812</v>
      </c>
      <c r="F119" s="217">
        <v>260.2123752</v>
      </c>
      <c r="G119" s="217">
        <f t="shared" si="24"/>
        <v>0.83900938857246243</v>
      </c>
      <c r="H119" s="217">
        <f t="shared" si="25"/>
        <v>0.16099061142753757</v>
      </c>
      <c r="I119" s="927">
        <f t="shared" si="26"/>
        <v>1216.8067161487065</v>
      </c>
      <c r="J119" s="927">
        <f t="shared" si="27"/>
        <v>233.48303355129343</v>
      </c>
      <c r="K119" s="217">
        <f t="shared" si="28"/>
        <v>1095.126044533836</v>
      </c>
      <c r="L119" s="217">
        <f t="shared" si="29"/>
        <v>1338.4873877635773</v>
      </c>
      <c r="M119" s="217">
        <f t="shared" si="30"/>
        <v>269.92973508865038</v>
      </c>
      <c r="N119" s="217">
        <f t="shared" si="31"/>
        <v>318.82108231429123</v>
      </c>
      <c r="O119">
        <v>1</v>
      </c>
      <c r="P119">
        <v>1</v>
      </c>
      <c r="Q119">
        <v>2</v>
      </c>
      <c r="R119">
        <v>2</v>
      </c>
      <c r="S119">
        <v>2</v>
      </c>
    </row>
    <row r="120" spans="1:19">
      <c r="A120" s="895" t="s">
        <v>182</v>
      </c>
      <c r="B120" s="895">
        <v>2012</v>
      </c>
      <c r="C120" s="895" t="s">
        <v>93</v>
      </c>
      <c r="D120" s="217">
        <v>36.246891740000002</v>
      </c>
      <c r="E120" s="217">
        <v>176.59557899999999</v>
      </c>
      <c r="F120" s="217">
        <v>74.639026979999997</v>
      </c>
      <c r="G120" s="217">
        <f t="shared" si="24"/>
        <v>0.70291104329018361</v>
      </c>
      <c r="H120" s="217">
        <f t="shared" si="25"/>
        <v>0.29708895670981639</v>
      </c>
      <c r="I120" s="927">
        <f t="shared" si="26"/>
        <v>151.11723851101024</v>
      </c>
      <c r="J120" s="927">
        <f t="shared" si="27"/>
        <v>63.870475728989732</v>
      </c>
      <c r="K120" s="217">
        <f t="shared" si="28"/>
        <v>136.00551465990921</v>
      </c>
      <c r="L120" s="217">
        <f t="shared" si="29"/>
        <v>166.22896236211128</v>
      </c>
      <c r="M120" s="217">
        <f t="shared" si="30"/>
        <v>73.840656990285041</v>
      </c>
      <c r="N120" s="217">
        <f t="shared" si="31"/>
        <v>87.215134607935482</v>
      </c>
      <c r="O120">
        <v>1</v>
      </c>
      <c r="P120">
        <v>1</v>
      </c>
      <c r="Q120">
        <v>2</v>
      </c>
      <c r="R120">
        <v>2</v>
      </c>
      <c r="S120">
        <v>2</v>
      </c>
    </row>
    <row r="121" spans="1:19">
      <c r="A121" s="895" t="s">
        <v>182</v>
      </c>
      <c r="B121" s="895">
        <v>2012</v>
      </c>
      <c r="C121" s="895" t="s">
        <v>90</v>
      </c>
      <c r="D121" s="217">
        <v>22.32888148</v>
      </c>
      <c r="E121" s="217">
        <v>113.5729643</v>
      </c>
      <c r="F121" s="217">
        <v>44.925511829999998</v>
      </c>
      <c r="G121" s="217">
        <f t="shared" si="24"/>
        <v>0.71655555985817665</v>
      </c>
      <c r="H121" s="217">
        <f t="shared" si="25"/>
        <v>0.28344444014182335</v>
      </c>
      <c r="I121" s="927">
        <f t="shared" si="26"/>
        <v>97.573080130091725</v>
      </c>
      <c r="J121" s="927">
        <f t="shared" si="27"/>
        <v>38.596514519908268</v>
      </c>
      <c r="K121" s="217">
        <f t="shared" si="28"/>
        <v>87.81577211708256</v>
      </c>
      <c r="L121" s="217">
        <f t="shared" si="29"/>
        <v>107.3303881431009</v>
      </c>
      <c r="M121" s="217">
        <f t="shared" si="30"/>
        <v>44.621430436465957</v>
      </c>
      <c r="N121" s="217">
        <f t="shared" si="31"/>
        <v>52.703540576934749</v>
      </c>
      <c r="O121">
        <v>1</v>
      </c>
      <c r="P121">
        <v>1</v>
      </c>
      <c r="Q121">
        <v>2</v>
      </c>
      <c r="R121">
        <v>2</v>
      </c>
      <c r="S121">
        <v>2</v>
      </c>
    </row>
    <row r="122" spans="1:19">
      <c r="A122" s="895" t="s">
        <v>182</v>
      </c>
      <c r="B122" s="895">
        <v>2012</v>
      </c>
      <c r="C122" s="895" t="s">
        <v>92</v>
      </c>
      <c r="D122" s="217">
        <v>33.42803705</v>
      </c>
      <c r="E122" s="217">
        <v>233.94698829999999</v>
      </c>
      <c r="F122" s="217">
        <v>53.02809165</v>
      </c>
      <c r="G122" s="217">
        <f t="shared" si="24"/>
        <v>0.81521708554192518</v>
      </c>
      <c r="H122" s="217">
        <f t="shared" si="25"/>
        <v>0.18478291445807482</v>
      </c>
      <c r="I122" s="927">
        <f t="shared" si="26"/>
        <v>206.6958813607115</v>
      </c>
      <c r="J122" s="927">
        <f t="shared" si="27"/>
        <v>46.851161539288498</v>
      </c>
      <c r="K122" s="217">
        <f t="shared" si="28"/>
        <v>186.02629322464034</v>
      </c>
      <c r="L122" s="217">
        <f t="shared" si="29"/>
        <v>227.36546949678265</v>
      </c>
      <c r="M122" s="217">
        <f t="shared" si="30"/>
        <v>54.164627855571439</v>
      </c>
      <c r="N122" s="217">
        <f t="shared" si="31"/>
        <v>63.975261081898452</v>
      </c>
      <c r="O122">
        <v>1</v>
      </c>
      <c r="P122">
        <v>1</v>
      </c>
      <c r="Q122">
        <v>2</v>
      </c>
      <c r="R122">
        <v>2</v>
      </c>
      <c r="S122">
        <v>2</v>
      </c>
    </row>
    <row r="123" spans="1:19">
      <c r="A123" s="895" t="s">
        <v>182</v>
      </c>
      <c r="B123" s="895">
        <v>2013</v>
      </c>
      <c r="C123" s="895" t="s">
        <v>99</v>
      </c>
      <c r="D123" s="217">
        <v>14.45780019</v>
      </c>
      <c r="E123" s="217">
        <v>124.4614761</v>
      </c>
      <c r="F123" s="217">
        <v>27.701617980000002</v>
      </c>
      <c r="G123" s="217">
        <f t="shared" si="24"/>
        <v>0.81794785294365902</v>
      </c>
      <c r="H123" s="217">
        <f t="shared" si="25"/>
        <v>0.18205214705634098</v>
      </c>
      <c r="I123" s="927">
        <f t="shared" si="26"/>
        <v>112.63574947630107</v>
      </c>
      <c r="J123" s="927">
        <f t="shared" si="27"/>
        <v>25.069544413698928</v>
      </c>
      <c r="K123" s="217">
        <f t="shared" si="28"/>
        <v>101.37217452867097</v>
      </c>
      <c r="L123" s="217">
        <f t="shared" si="29"/>
        <v>123.89932442393119</v>
      </c>
      <c r="M123" s="217">
        <f t="shared" si="30"/>
        <v>28.982900296677332</v>
      </c>
      <c r="N123" s="217">
        <f t="shared" si="31"/>
        <v>34.232462896905894</v>
      </c>
      <c r="O123">
        <v>1</v>
      </c>
      <c r="P123">
        <v>1</v>
      </c>
      <c r="Q123">
        <v>2</v>
      </c>
      <c r="R123">
        <v>2</v>
      </c>
      <c r="S123">
        <v>2</v>
      </c>
    </row>
    <row r="124" spans="1:19">
      <c r="A124" s="895" t="s">
        <v>182</v>
      </c>
      <c r="B124" s="895">
        <v>2013</v>
      </c>
      <c r="C124" s="895" t="s">
        <v>98</v>
      </c>
      <c r="D124" s="217">
        <v>30.312925509999999</v>
      </c>
      <c r="E124" s="217">
        <v>241.3969587</v>
      </c>
      <c r="F124" s="217">
        <v>45.746551240000002</v>
      </c>
      <c r="G124" s="217">
        <f t="shared" si="24"/>
        <v>0.84068401459061726</v>
      </c>
      <c r="H124" s="217">
        <f t="shared" si="25"/>
        <v>0.15931598540938274</v>
      </c>
      <c r="I124" s="927">
        <f t="shared" si="26"/>
        <v>215.91336678826687</v>
      </c>
      <c r="J124" s="927">
        <f t="shared" si="27"/>
        <v>40.917217641733139</v>
      </c>
      <c r="K124" s="217">
        <f t="shared" si="28"/>
        <v>194.32203010944019</v>
      </c>
      <c r="L124" s="217">
        <f t="shared" si="29"/>
        <v>237.50470346709358</v>
      </c>
      <c r="M124" s="217">
        <f t="shared" si="30"/>
        <v>47.304395315607685</v>
      </c>
      <c r="N124" s="217">
        <f t="shared" si="31"/>
        <v>55.872460689786607</v>
      </c>
      <c r="O124">
        <v>1</v>
      </c>
      <c r="P124">
        <v>1</v>
      </c>
      <c r="Q124">
        <v>2</v>
      </c>
      <c r="R124">
        <v>2</v>
      </c>
      <c r="S124">
        <v>2</v>
      </c>
    </row>
    <row r="125" spans="1:19">
      <c r="A125" s="895" t="s">
        <v>182</v>
      </c>
      <c r="B125" s="895">
        <v>2013</v>
      </c>
      <c r="C125" s="895" t="s">
        <v>95</v>
      </c>
      <c r="D125" s="217">
        <v>38.561227850000002</v>
      </c>
      <c r="E125" s="217">
        <v>266.1203342</v>
      </c>
      <c r="F125" s="217">
        <v>82.569682510000007</v>
      </c>
      <c r="G125" s="217">
        <f t="shared" si="24"/>
        <v>0.76320032535180982</v>
      </c>
      <c r="H125" s="217">
        <f t="shared" si="25"/>
        <v>0.23679967464819018</v>
      </c>
      <c r="I125" s="927">
        <f t="shared" si="26"/>
        <v>236.69039255891474</v>
      </c>
      <c r="J125" s="927">
        <f t="shared" si="27"/>
        <v>73.438396301085277</v>
      </c>
      <c r="K125" s="217">
        <f t="shared" si="28"/>
        <v>213.02135330302326</v>
      </c>
      <c r="L125" s="217">
        <f t="shared" si="29"/>
        <v>260.35943181480621</v>
      </c>
      <c r="M125" s="217">
        <f t="shared" si="30"/>
        <v>84.9021299636847</v>
      </c>
      <c r="N125" s="217">
        <f t="shared" si="31"/>
        <v>100.28013014913196</v>
      </c>
      <c r="O125">
        <v>1</v>
      </c>
      <c r="P125">
        <v>1</v>
      </c>
      <c r="Q125">
        <v>2</v>
      </c>
      <c r="R125">
        <v>2</v>
      </c>
      <c r="S125">
        <v>2</v>
      </c>
    </row>
    <row r="126" spans="1:19">
      <c r="A126" s="895" t="s">
        <v>182</v>
      </c>
      <c r="B126" s="895">
        <v>2013</v>
      </c>
      <c r="C126" s="895" t="s">
        <v>91</v>
      </c>
      <c r="D126" s="217">
        <v>174.76059029999999</v>
      </c>
      <c r="E126" s="217">
        <v>1426.866741</v>
      </c>
      <c r="F126" s="217">
        <v>259.79608669999999</v>
      </c>
      <c r="G126" s="217">
        <f t="shared" si="24"/>
        <v>0.84597034900314483</v>
      </c>
      <c r="H126" s="217">
        <f t="shared" si="25"/>
        <v>0.15402965099685517</v>
      </c>
      <c r="I126" s="927">
        <f t="shared" si="26"/>
        <v>1279.0244634319135</v>
      </c>
      <c r="J126" s="927">
        <f t="shared" si="27"/>
        <v>232.87777396808659</v>
      </c>
      <c r="K126" s="217">
        <f t="shared" si="28"/>
        <v>1151.1220170887223</v>
      </c>
      <c r="L126" s="217">
        <f t="shared" si="29"/>
        <v>1406.9269097751051</v>
      </c>
      <c r="M126" s="217">
        <f t="shared" si="30"/>
        <v>269.22999448450491</v>
      </c>
      <c r="N126" s="217">
        <f t="shared" si="31"/>
        <v>317.99460035342224</v>
      </c>
      <c r="O126">
        <v>1</v>
      </c>
      <c r="P126">
        <v>1</v>
      </c>
      <c r="Q126">
        <v>2</v>
      </c>
      <c r="R126">
        <v>2</v>
      </c>
      <c r="S126">
        <v>2</v>
      </c>
    </row>
    <row r="127" spans="1:19">
      <c r="A127" s="895" t="s">
        <v>182</v>
      </c>
      <c r="B127" s="895">
        <v>2013</v>
      </c>
      <c r="C127" s="895" t="s">
        <v>93</v>
      </c>
      <c r="D127" s="217">
        <v>38.966978740000002</v>
      </c>
      <c r="E127" s="217">
        <v>182.33374789999999</v>
      </c>
      <c r="F127" s="217">
        <v>75.803505110000003</v>
      </c>
      <c r="G127" s="217">
        <f t="shared" si="24"/>
        <v>0.70634418617965444</v>
      </c>
      <c r="H127" s="217">
        <f t="shared" si="25"/>
        <v>0.29365581382034556</v>
      </c>
      <c r="I127" s="927">
        <f t="shared" si="26"/>
        <v>154.80964901401478</v>
      </c>
      <c r="J127" s="927">
        <f t="shared" si="27"/>
        <v>64.360625255985198</v>
      </c>
      <c r="K127" s="217">
        <f t="shared" si="28"/>
        <v>139.3286841126133</v>
      </c>
      <c r="L127" s="217">
        <f t="shared" si="29"/>
        <v>170.29061391541626</v>
      </c>
      <c r="M127" s="217">
        <f t="shared" si="30"/>
        <v>74.407318858444498</v>
      </c>
      <c r="N127" s="217">
        <f t="shared" si="31"/>
        <v>87.884433787047797</v>
      </c>
      <c r="O127">
        <v>1</v>
      </c>
      <c r="P127">
        <v>1</v>
      </c>
      <c r="Q127">
        <v>2</v>
      </c>
      <c r="R127">
        <v>2</v>
      </c>
      <c r="S127">
        <v>2</v>
      </c>
    </row>
    <row r="128" spans="1:19">
      <c r="A128" s="895" t="s">
        <v>182</v>
      </c>
      <c r="B128" s="895">
        <v>2013</v>
      </c>
      <c r="C128" s="895" t="s">
        <v>90</v>
      </c>
      <c r="D128" s="217">
        <v>23.959647100000002</v>
      </c>
      <c r="E128" s="217">
        <v>117.31112760000001</v>
      </c>
      <c r="F128" s="217">
        <v>45.564610389999999</v>
      </c>
      <c r="G128" s="217">
        <f t="shared" si="24"/>
        <v>0.72024924674295254</v>
      </c>
      <c r="H128" s="217">
        <f t="shared" si="25"/>
        <v>0.27975075325704746</v>
      </c>
      <c r="I128" s="927">
        <f t="shared" si="26"/>
        <v>100.05420982399804</v>
      </c>
      <c r="J128" s="927">
        <f t="shared" si="27"/>
        <v>38.861881066001963</v>
      </c>
      <c r="K128" s="217">
        <f t="shared" si="28"/>
        <v>90.048788841598238</v>
      </c>
      <c r="L128" s="217">
        <f t="shared" si="29"/>
        <v>110.05963080639785</v>
      </c>
      <c r="M128" s="217">
        <f t="shared" si="30"/>
        <v>44.928220700404871</v>
      </c>
      <c r="N128" s="217">
        <f t="shared" si="31"/>
        <v>53.06589859562569</v>
      </c>
      <c r="O128">
        <v>1</v>
      </c>
      <c r="P128">
        <v>1</v>
      </c>
      <c r="Q128">
        <v>2</v>
      </c>
      <c r="R128">
        <v>2</v>
      </c>
      <c r="S128">
        <v>2</v>
      </c>
    </row>
    <row r="129" spans="1:19">
      <c r="A129" s="895" t="s">
        <v>182</v>
      </c>
      <c r="B129" s="895">
        <v>2013</v>
      </c>
      <c r="C129" s="895" t="s">
        <v>92</v>
      </c>
      <c r="D129" s="217">
        <v>35.318847660000003</v>
      </c>
      <c r="E129" s="217">
        <v>242.25254770000001</v>
      </c>
      <c r="F129" s="217">
        <v>53.420065559999998</v>
      </c>
      <c r="G129" s="217">
        <f t="shared" si="24"/>
        <v>0.8193269746189682</v>
      </c>
      <c r="H129" s="217">
        <f t="shared" si="25"/>
        <v>0.1806730253810318</v>
      </c>
      <c r="I129" s="927">
        <f t="shared" si="26"/>
        <v>213.31486309970398</v>
      </c>
      <c r="J129" s="927">
        <f t="shared" si="27"/>
        <v>47.038902500296018</v>
      </c>
      <c r="K129" s="217">
        <f t="shared" si="28"/>
        <v>191.9833767897336</v>
      </c>
      <c r="L129" s="217">
        <f t="shared" si="29"/>
        <v>234.6463494096744</v>
      </c>
      <c r="M129" s="217">
        <f t="shared" si="30"/>
        <v>54.381675180592232</v>
      </c>
      <c r="N129" s="217">
        <f t="shared" si="31"/>
        <v>64.231621364154222</v>
      </c>
      <c r="O129">
        <v>1</v>
      </c>
      <c r="P129">
        <v>1</v>
      </c>
      <c r="Q129">
        <v>2</v>
      </c>
      <c r="R129">
        <v>2</v>
      </c>
      <c r="S129">
        <v>2</v>
      </c>
    </row>
    <row r="130" spans="1:19">
      <c r="A130" s="895" t="s">
        <v>182</v>
      </c>
      <c r="B130" s="895">
        <v>2014</v>
      </c>
      <c r="C130" s="895" t="s">
        <v>99</v>
      </c>
      <c r="D130" s="217">
        <v>15.16698133</v>
      </c>
      <c r="E130" s="217">
        <v>140.069447</v>
      </c>
      <c r="F130" s="217">
        <v>26.874755109999999</v>
      </c>
      <c r="G130" s="217">
        <f t="shared" si="24"/>
        <v>0.83901953604658797</v>
      </c>
      <c r="H130" s="217">
        <f t="shared" si="25"/>
        <v>0.16098046395341203</v>
      </c>
      <c r="I130" s="927">
        <f t="shared" si="26"/>
        <v>127.34405336127614</v>
      </c>
      <c r="J130" s="927">
        <f t="shared" si="27"/>
        <v>24.433167418723862</v>
      </c>
      <c r="K130" s="217">
        <f t="shared" si="28"/>
        <v>114.60964802514853</v>
      </c>
      <c r="L130" s="217">
        <f t="shared" si="29"/>
        <v>140.07845869740376</v>
      </c>
      <c r="M130" s="217">
        <f t="shared" si="30"/>
        <v>28.24718485278666</v>
      </c>
      <c r="N130" s="217">
        <f t="shared" si="31"/>
        <v>33.363490110267435</v>
      </c>
      <c r="O130">
        <v>1</v>
      </c>
      <c r="P130">
        <v>1</v>
      </c>
      <c r="Q130">
        <v>2</v>
      </c>
      <c r="R130">
        <v>2</v>
      </c>
      <c r="S130">
        <v>2</v>
      </c>
    </row>
    <row r="131" spans="1:19">
      <c r="A131" s="895" t="s">
        <v>182</v>
      </c>
      <c r="B131" s="895">
        <v>2014</v>
      </c>
      <c r="C131" s="895" t="s">
        <v>98</v>
      </c>
      <c r="D131" s="217">
        <v>31.699395190000001</v>
      </c>
      <c r="E131" s="217">
        <v>265.04560600000002</v>
      </c>
      <c r="F131" s="217">
        <v>48.022950489999999</v>
      </c>
      <c r="G131" s="217">
        <f t="shared" si="24"/>
        <v>0.8466056411783599</v>
      </c>
      <c r="H131" s="217">
        <f t="shared" si="25"/>
        <v>0.1533943588216401</v>
      </c>
      <c r="I131" s="927">
        <f t="shared" si="26"/>
        <v>238.20871921020387</v>
      </c>
      <c r="J131" s="927">
        <f t="shared" si="27"/>
        <v>43.16044208979617</v>
      </c>
      <c r="K131" s="217">
        <f t="shared" si="28"/>
        <v>214.3878472891835</v>
      </c>
      <c r="L131" s="217">
        <f t="shared" si="29"/>
        <v>262.02959113122427</v>
      </c>
      <c r="M131" s="217">
        <f t="shared" si="30"/>
        <v>49.89778710001336</v>
      </c>
      <c r="N131" s="217">
        <f t="shared" si="31"/>
        <v>58.935583673616676</v>
      </c>
      <c r="O131">
        <v>1</v>
      </c>
      <c r="P131">
        <v>1</v>
      </c>
      <c r="Q131">
        <v>2</v>
      </c>
      <c r="R131">
        <v>2</v>
      </c>
      <c r="S131">
        <v>2</v>
      </c>
    </row>
    <row r="132" spans="1:19">
      <c r="A132" s="895" t="s">
        <v>182</v>
      </c>
      <c r="B132" s="895">
        <v>2014</v>
      </c>
      <c r="C132" s="895" t="s">
        <v>95</v>
      </c>
      <c r="D132" s="217">
        <v>39.904926369999998</v>
      </c>
      <c r="E132" s="217">
        <v>292.05010800000002</v>
      </c>
      <c r="F132" s="217">
        <v>81.751262609999998</v>
      </c>
      <c r="G132" s="217">
        <f t="shared" si="24"/>
        <v>0.78129758465949029</v>
      </c>
      <c r="H132" s="217">
        <f t="shared" si="25"/>
        <v>0.21870241534050971</v>
      </c>
      <c r="I132" s="927">
        <f t="shared" si="26"/>
        <v>260.87248541110421</v>
      </c>
      <c r="J132" s="927">
        <f t="shared" si="27"/>
        <v>73.0239588288958</v>
      </c>
      <c r="K132" s="217">
        <f t="shared" si="28"/>
        <v>234.78523686999378</v>
      </c>
      <c r="L132" s="217">
        <f t="shared" si="29"/>
        <v>286.95973395221466</v>
      </c>
      <c r="M132" s="217">
        <f t="shared" si="30"/>
        <v>84.42299880208644</v>
      </c>
      <c r="N132" s="217">
        <f t="shared" si="31"/>
        <v>99.714215780857231</v>
      </c>
      <c r="O132">
        <v>1</v>
      </c>
      <c r="P132">
        <v>1</v>
      </c>
      <c r="Q132">
        <v>2</v>
      </c>
      <c r="R132">
        <v>2</v>
      </c>
      <c r="S132">
        <v>2</v>
      </c>
    </row>
    <row r="133" spans="1:19">
      <c r="A133" s="895" t="s">
        <v>182</v>
      </c>
      <c r="B133" s="895">
        <v>2014</v>
      </c>
      <c r="C133" s="895" t="s">
        <v>91</v>
      </c>
      <c r="D133" s="217">
        <v>186.45305920000001</v>
      </c>
      <c r="E133" s="217">
        <v>1561.442695</v>
      </c>
      <c r="F133" s="217">
        <v>259.88775650000002</v>
      </c>
      <c r="G133" s="217">
        <f t="shared" si="24"/>
        <v>0.85730883910387412</v>
      </c>
      <c r="H133" s="217">
        <f t="shared" si="25"/>
        <v>0.14269116089612588</v>
      </c>
      <c r="I133" s="927">
        <f t="shared" si="26"/>
        <v>1401.594839269882</v>
      </c>
      <c r="J133" s="927">
        <f t="shared" si="27"/>
        <v>233.28255303011792</v>
      </c>
      <c r="K133" s="217">
        <f t="shared" si="28"/>
        <v>1261.4353553428939</v>
      </c>
      <c r="L133" s="217">
        <f t="shared" si="29"/>
        <v>1541.7543231968702</v>
      </c>
      <c r="M133" s="217">
        <f t="shared" si="30"/>
        <v>269.69795955811935</v>
      </c>
      <c r="N133" s="217">
        <f t="shared" si="31"/>
        <v>318.54732616262606</v>
      </c>
      <c r="O133">
        <v>1</v>
      </c>
      <c r="P133">
        <v>1</v>
      </c>
      <c r="Q133">
        <v>2</v>
      </c>
      <c r="R133">
        <v>2</v>
      </c>
      <c r="S133">
        <v>2</v>
      </c>
    </row>
    <row r="134" spans="1:19">
      <c r="A134" s="895" t="s">
        <v>182</v>
      </c>
      <c r="B134" s="895">
        <v>2014</v>
      </c>
      <c r="C134" s="895" t="s">
        <v>93</v>
      </c>
      <c r="D134" s="217">
        <v>39.652465650000003</v>
      </c>
      <c r="E134" s="217">
        <v>196.34233850000001</v>
      </c>
      <c r="F134" s="217">
        <v>82.260608050000002</v>
      </c>
      <c r="G134" s="217">
        <f t="shared" si="24"/>
        <v>0.7047389158347005</v>
      </c>
      <c r="H134" s="217">
        <f t="shared" si="25"/>
        <v>0.2952610841652995</v>
      </c>
      <c r="I134" s="927">
        <f t="shared" si="26"/>
        <v>168.39770284764631</v>
      </c>
      <c r="J134" s="927">
        <f t="shared" si="27"/>
        <v>70.552778052353702</v>
      </c>
      <c r="K134" s="217">
        <f t="shared" si="28"/>
        <v>151.55793256288169</v>
      </c>
      <c r="L134" s="217">
        <f t="shared" si="29"/>
        <v>185.23747313241097</v>
      </c>
      <c r="M134" s="217">
        <f t="shared" si="30"/>
        <v>81.566066706326126</v>
      </c>
      <c r="N134" s="217">
        <f t="shared" si="31"/>
        <v>96.33981843048899</v>
      </c>
      <c r="O134">
        <v>1</v>
      </c>
      <c r="P134">
        <v>1</v>
      </c>
      <c r="Q134">
        <v>2</v>
      </c>
      <c r="R134">
        <v>2</v>
      </c>
      <c r="S134">
        <v>2</v>
      </c>
    </row>
    <row r="135" spans="1:19">
      <c r="A135" s="895" t="s">
        <v>182</v>
      </c>
      <c r="B135" s="895">
        <v>2014</v>
      </c>
      <c r="C135" s="895" t="s">
        <v>90</v>
      </c>
      <c r="D135" s="217">
        <v>24.42741929</v>
      </c>
      <c r="E135" s="217">
        <v>126.4339274</v>
      </c>
      <c r="F135" s="217">
        <v>49.461362649999998</v>
      </c>
      <c r="G135" s="217">
        <f t="shared" si="24"/>
        <v>0.71880223378386021</v>
      </c>
      <c r="H135" s="217">
        <f t="shared" si="25"/>
        <v>0.28119776621613979</v>
      </c>
      <c r="I135" s="927">
        <f t="shared" si="26"/>
        <v>108.87544384877305</v>
      </c>
      <c r="J135" s="927">
        <f t="shared" si="27"/>
        <v>42.592426911226951</v>
      </c>
      <c r="K135" s="217">
        <f t="shared" si="28"/>
        <v>97.987899463895744</v>
      </c>
      <c r="L135" s="217">
        <f t="shared" si="29"/>
        <v>119.76298823365036</v>
      </c>
      <c r="M135" s="217">
        <f t="shared" si="30"/>
        <v>49.241104752069482</v>
      </c>
      <c r="N135" s="217">
        <f t="shared" si="31"/>
        <v>58.159958947280408</v>
      </c>
      <c r="O135">
        <v>1</v>
      </c>
      <c r="P135">
        <v>1</v>
      </c>
      <c r="Q135">
        <v>2</v>
      </c>
      <c r="R135">
        <v>2</v>
      </c>
      <c r="S135">
        <v>2</v>
      </c>
    </row>
    <row r="136" spans="1:19">
      <c r="A136" s="895" t="s">
        <v>182</v>
      </c>
      <c r="B136" s="895">
        <v>2014</v>
      </c>
      <c r="C136" s="895" t="s">
        <v>92</v>
      </c>
      <c r="D136" s="217">
        <v>36.643188850000001</v>
      </c>
      <c r="E136" s="217">
        <v>261.37115139999997</v>
      </c>
      <c r="F136" s="217">
        <v>57.937369779999997</v>
      </c>
      <c r="G136" s="217">
        <f t="shared" si="24"/>
        <v>0.81855363719736229</v>
      </c>
      <c r="H136" s="217">
        <f t="shared" si="25"/>
        <v>0.18144636280263771</v>
      </c>
      <c r="I136" s="927">
        <f t="shared" si="26"/>
        <v>231.37673588832263</v>
      </c>
      <c r="J136" s="927">
        <f t="shared" si="27"/>
        <v>51.288596441677328</v>
      </c>
      <c r="K136" s="217">
        <f t="shared" si="28"/>
        <v>208.23906229949037</v>
      </c>
      <c r="L136" s="217">
        <f t="shared" si="29"/>
        <v>254.51440947715491</v>
      </c>
      <c r="M136" s="217">
        <f t="shared" si="30"/>
        <v>59.294746346223164</v>
      </c>
      <c r="N136" s="217">
        <f t="shared" si="31"/>
        <v>70.034578441110398</v>
      </c>
      <c r="O136">
        <v>1</v>
      </c>
      <c r="P136">
        <v>1</v>
      </c>
      <c r="Q136">
        <v>2</v>
      </c>
      <c r="R136">
        <v>2</v>
      </c>
      <c r="S136">
        <v>2</v>
      </c>
    </row>
    <row r="137" spans="1:19">
      <c r="A137" s="895" t="s">
        <v>182</v>
      </c>
      <c r="B137" s="895">
        <v>2015</v>
      </c>
      <c r="C137" s="895" t="s">
        <v>99</v>
      </c>
      <c r="D137" s="217">
        <v>15.266342310000001</v>
      </c>
      <c r="E137" s="217">
        <v>131.8081186</v>
      </c>
      <c r="F137" s="217">
        <v>24.36088462</v>
      </c>
      <c r="G137" s="217">
        <f t="shared" si="24"/>
        <v>0.8440094761590935</v>
      </c>
      <c r="H137" s="217">
        <f t="shared" si="25"/>
        <v>0.1559905238409065</v>
      </c>
      <c r="I137" s="927">
        <f t="shared" si="26"/>
        <v>118.9231810240715</v>
      </c>
      <c r="J137" s="927">
        <f t="shared" si="27"/>
        <v>21.979479885928505</v>
      </c>
      <c r="K137" s="217">
        <f t="shared" si="28"/>
        <v>107.03086292166435</v>
      </c>
      <c r="L137" s="217">
        <f t="shared" si="29"/>
        <v>130.81549912647867</v>
      </c>
      <c r="M137" s="217">
        <f t="shared" si="30"/>
        <v>25.410476696121947</v>
      </c>
      <c r="N137" s="217">
        <f t="shared" si="31"/>
        <v>30.012979784235377</v>
      </c>
      <c r="O137">
        <v>1</v>
      </c>
      <c r="P137">
        <v>1</v>
      </c>
      <c r="Q137">
        <v>2</v>
      </c>
      <c r="R137">
        <v>2</v>
      </c>
      <c r="S137">
        <v>2</v>
      </c>
    </row>
    <row r="138" spans="1:19">
      <c r="A138" s="895" t="s">
        <v>182</v>
      </c>
      <c r="B138" s="895">
        <v>2015</v>
      </c>
      <c r="C138" s="895" t="s">
        <v>98</v>
      </c>
      <c r="D138" s="217">
        <v>32.127243960000001</v>
      </c>
      <c r="E138" s="217">
        <v>243.84429309999999</v>
      </c>
      <c r="F138" s="217">
        <v>43.957239389999998</v>
      </c>
      <c r="G138" s="217">
        <f t="shared" si="24"/>
        <v>0.84726544362119627</v>
      </c>
      <c r="H138" s="217">
        <f t="shared" si="25"/>
        <v>0.15273455637880373</v>
      </c>
      <c r="I138" s="927">
        <f t="shared" si="26"/>
        <v>216.62398949390419</v>
      </c>
      <c r="J138" s="927">
        <f t="shared" si="27"/>
        <v>39.050299036095794</v>
      </c>
      <c r="K138" s="217">
        <f t="shared" si="28"/>
        <v>194.96159054451377</v>
      </c>
      <c r="L138" s="217">
        <f t="shared" si="29"/>
        <v>238.28638844329464</v>
      </c>
      <c r="M138" s="217">
        <f t="shared" si="30"/>
        <v>45.146050715630352</v>
      </c>
      <c r="N138" s="217">
        <f t="shared" si="31"/>
        <v>53.323183333788812</v>
      </c>
      <c r="O138">
        <v>1</v>
      </c>
      <c r="P138">
        <v>1</v>
      </c>
      <c r="Q138">
        <v>2</v>
      </c>
      <c r="R138">
        <v>2</v>
      </c>
      <c r="S138">
        <v>2</v>
      </c>
    </row>
    <row r="139" spans="1:19">
      <c r="A139" s="895" t="s">
        <v>182</v>
      </c>
      <c r="B139" s="895">
        <v>2015</v>
      </c>
      <c r="C139" s="895" t="s">
        <v>95</v>
      </c>
      <c r="D139" s="217">
        <v>40.49554724</v>
      </c>
      <c r="E139" s="217">
        <v>277.75861909999998</v>
      </c>
      <c r="F139" s="217">
        <v>75.043678139999997</v>
      </c>
      <c r="G139" s="217">
        <f t="shared" si="24"/>
        <v>0.78729254676890548</v>
      </c>
      <c r="H139" s="217">
        <f t="shared" si="25"/>
        <v>0.21270745323109452</v>
      </c>
      <c r="I139" s="927">
        <f t="shared" si="26"/>
        <v>245.87677658061986</v>
      </c>
      <c r="J139" s="927">
        <f t="shared" si="27"/>
        <v>66.429973419380119</v>
      </c>
      <c r="K139" s="217">
        <f t="shared" si="28"/>
        <v>221.28909892255788</v>
      </c>
      <c r="L139" s="217">
        <f t="shared" si="29"/>
        <v>270.46445423868187</v>
      </c>
      <c r="M139" s="217">
        <f t="shared" si="30"/>
        <v>76.799692270145357</v>
      </c>
      <c r="N139" s="217">
        <f t="shared" si="31"/>
        <v>90.710128704163566</v>
      </c>
      <c r="O139">
        <v>1</v>
      </c>
      <c r="P139">
        <v>1</v>
      </c>
      <c r="Q139">
        <v>2</v>
      </c>
      <c r="R139">
        <v>2</v>
      </c>
      <c r="S139">
        <v>2</v>
      </c>
    </row>
    <row r="140" spans="1:19">
      <c r="A140" s="895" t="s">
        <v>182</v>
      </c>
      <c r="B140" s="895">
        <v>2015</v>
      </c>
      <c r="C140" s="895" t="s">
        <v>91</v>
      </c>
      <c r="D140" s="217">
        <v>189.95740549999999</v>
      </c>
      <c r="E140" s="217">
        <v>1494.6702990000001</v>
      </c>
      <c r="F140" s="217">
        <v>235.98844209999999</v>
      </c>
      <c r="G140" s="217">
        <f t="shared" si="24"/>
        <v>0.86364241748202386</v>
      </c>
      <c r="H140" s="217">
        <f t="shared" si="25"/>
        <v>0.13635758251797614</v>
      </c>
      <c r="I140" s="927">
        <f t="shared" si="26"/>
        <v>1330.6150260953671</v>
      </c>
      <c r="J140" s="927">
        <f t="shared" si="27"/>
        <v>210.08630950463308</v>
      </c>
      <c r="K140" s="217">
        <f t="shared" si="28"/>
        <v>1197.5535234858303</v>
      </c>
      <c r="L140" s="217">
        <f t="shared" si="29"/>
        <v>1463.6765287049038</v>
      </c>
      <c r="M140" s="217">
        <f t="shared" si="30"/>
        <v>242.88078241830632</v>
      </c>
      <c r="N140" s="217">
        <f t="shared" si="31"/>
        <v>286.87285562857647</v>
      </c>
      <c r="O140">
        <v>1</v>
      </c>
      <c r="P140">
        <v>1</v>
      </c>
      <c r="Q140">
        <v>2</v>
      </c>
      <c r="R140">
        <v>2</v>
      </c>
      <c r="S140">
        <v>2</v>
      </c>
    </row>
    <row r="141" spans="1:19">
      <c r="A141" s="895" t="s">
        <v>182</v>
      </c>
      <c r="B141" s="895">
        <v>2015</v>
      </c>
      <c r="C141" s="895" t="s">
        <v>93</v>
      </c>
      <c r="D141" s="217">
        <v>38.770970310000003</v>
      </c>
      <c r="E141" s="217">
        <v>186.7543919</v>
      </c>
      <c r="F141" s="217">
        <v>78.899163889999997</v>
      </c>
      <c r="G141" s="217">
        <f t="shared" ref="G141:G172" si="32">E141/(E141+F141)</f>
        <v>0.70299978234671157</v>
      </c>
      <c r="H141" s="217">
        <f t="shared" ref="H141:H172" si="33">1-G141</f>
        <v>0.29700021765328843</v>
      </c>
      <c r="I141" s="927">
        <f t="shared" ref="I141:I172" si="34">E141-(D141*G141)</f>
        <v>159.49840821069918</v>
      </c>
      <c r="J141" s="927">
        <f t="shared" ref="J141:J172" si="35">F141-(D141*H141)</f>
        <v>67.384177269300807</v>
      </c>
      <c r="K141" s="217">
        <f t="shared" ref="K141:K172" si="36">I141*$B$5</f>
        <v>143.54856738962926</v>
      </c>
      <c r="L141" s="217">
        <f t="shared" ref="L141:L172" si="37">I141*$B$4</f>
        <v>175.44824903176911</v>
      </c>
      <c r="M141" s="217">
        <f t="shared" ref="M141:M172" si="38">J141*$B$7</f>
        <v>77.902847341038665</v>
      </c>
      <c r="N141" s="217">
        <f t="shared" ref="N141:N172" si="39">J141*$B$6</f>
        <v>92.013094061230262</v>
      </c>
      <c r="O141">
        <v>1</v>
      </c>
      <c r="P141">
        <v>1</v>
      </c>
      <c r="Q141">
        <v>2</v>
      </c>
      <c r="R141">
        <v>2</v>
      </c>
      <c r="S141">
        <v>2</v>
      </c>
    </row>
    <row r="142" spans="1:19">
      <c r="A142" s="895" t="s">
        <v>182</v>
      </c>
      <c r="B142" s="895">
        <v>2015</v>
      </c>
      <c r="C142" s="895" t="s">
        <v>90</v>
      </c>
      <c r="D142" s="217">
        <v>23.924247860000001</v>
      </c>
      <c r="E142" s="217">
        <v>119.7308529</v>
      </c>
      <c r="F142" s="217">
        <v>47.412957749999997</v>
      </c>
      <c r="G142" s="217">
        <f t="shared" si="32"/>
        <v>0.71633434965005682</v>
      </c>
      <c r="H142" s="217">
        <f t="shared" si="33"/>
        <v>0.28366565034994318</v>
      </c>
      <c r="I142" s="927">
        <f t="shared" si="34"/>
        <v>102.59309236834014</v>
      </c>
      <c r="J142" s="927">
        <f t="shared" si="35"/>
        <v>40.62647042165986</v>
      </c>
      <c r="K142" s="217">
        <f t="shared" si="36"/>
        <v>92.333783131506124</v>
      </c>
      <c r="L142" s="217">
        <f t="shared" si="37"/>
        <v>112.85240160517417</v>
      </c>
      <c r="M142" s="217">
        <f t="shared" si="38"/>
        <v>46.968262454480971</v>
      </c>
      <c r="N142" s="217">
        <f t="shared" si="39"/>
        <v>55.475445360776547</v>
      </c>
      <c r="O142">
        <v>1</v>
      </c>
      <c r="P142">
        <v>1</v>
      </c>
      <c r="Q142">
        <v>2</v>
      </c>
      <c r="R142">
        <v>2</v>
      </c>
      <c r="S142">
        <v>2</v>
      </c>
    </row>
    <row r="143" spans="1:19">
      <c r="A143" s="895" t="s">
        <v>182</v>
      </c>
      <c r="B143" s="895">
        <v>2015</v>
      </c>
      <c r="C143" s="895" t="s">
        <v>92</v>
      </c>
      <c r="D143" s="217">
        <v>36.435097800000001</v>
      </c>
      <c r="E143" s="217">
        <v>241.73989510000001</v>
      </c>
      <c r="F143" s="217">
        <v>55.302156859999997</v>
      </c>
      <c r="G143" s="217">
        <f t="shared" si="32"/>
        <v>0.81382381216701594</v>
      </c>
      <c r="H143" s="217">
        <f t="shared" si="33"/>
        <v>0.18617618783298406</v>
      </c>
      <c r="I143" s="927">
        <f t="shared" si="34"/>
        <v>212.08814491172595</v>
      </c>
      <c r="J143" s="927">
        <f t="shared" si="35"/>
        <v>48.518809248274053</v>
      </c>
      <c r="K143" s="217">
        <f t="shared" si="36"/>
        <v>190.87933042055334</v>
      </c>
      <c r="L143" s="217">
        <f t="shared" si="37"/>
        <v>233.29695940289855</v>
      </c>
      <c r="M143" s="217">
        <f t="shared" si="38"/>
        <v>56.09259537192964</v>
      </c>
      <c r="N143" s="217">
        <f t="shared" si="39"/>
        <v>66.252434028518223</v>
      </c>
      <c r="O143">
        <v>1</v>
      </c>
      <c r="P143">
        <v>1</v>
      </c>
      <c r="Q143">
        <v>2</v>
      </c>
      <c r="R143">
        <v>2</v>
      </c>
      <c r="S143">
        <v>2</v>
      </c>
    </row>
    <row r="144" spans="1:19">
      <c r="A144" s="895" t="s">
        <v>182</v>
      </c>
      <c r="B144" s="895">
        <v>2016</v>
      </c>
      <c r="C144" s="895" t="s">
        <v>99</v>
      </c>
      <c r="D144" s="217">
        <v>16.234604390000001</v>
      </c>
      <c r="E144" s="217">
        <v>137.5872952</v>
      </c>
      <c r="F144" s="217">
        <v>27.785029609999999</v>
      </c>
      <c r="G144" s="217">
        <f t="shared" si="32"/>
        <v>0.83198500933017139</v>
      </c>
      <c r="H144" s="217">
        <f t="shared" si="33"/>
        <v>0.16801499066982861</v>
      </c>
      <c r="I144" s="927">
        <f t="shared" si="34"/>
        <v>124.08034771511421</v>
      </c>
      <c r="J144" s="927">
        <f t="shared" si="35"/>
        <v>25.05737270488579</v>
      </c>
      <c r="K144" s="217">
        <f t="shared" si="36"/>
        <v>111.67231294360279</v>
      </c>
      <c r="L144" s="217">
        <f t="shared" si="37"/>
        <v>136.48838248662565</v>
      </c>
      <c r="M144" s="217">
        <f t="shared" si="38"/>
        <v>28.968828584118466</v>
      </c>
      <c r="N144" s="217">
        <f t="shared" si="39"/>
        <v>34.215842428521547</v>
      </c>
      <c r="O144">
        <v>1</v>
      </c>
      <c r="P144">
        <v>1</v>
      </c>
      <c r="Q144">
        <v>2</v>
      </c>
      <c r="R144">
        <v>2</v>
      </c>
      <c r="S144">
        <v>2</v>
      </c>
    </row>
    <row r="145" spans="1:19">
      <c r="A145" s="895" t="s">
        <v>182</v>
      </c>
      <c r="B145" s="895">
        <v>2016</v>
      </c>
      <c r="C145" s="895" t="s">
        <v>98</v>
      </c>
      <c r="D145" s="217">
        <v>33.777355710000002</v>
      </c>
      <c r="E145" s="217">
        <v>246.2700877</v>
      </c>
      <c r="F145" s="217">
        <v>43.456294489999998</v>
      </c>
      <c r="G145" s="217">
        <f t="shared" si="32"/>
        <v>0.85000919087340232</v>
      </c>
      <c r="H145" s="217">
        <f t="shared" si="33"/>
        <v>0.14999080912659768</v>
      </c>
      <c r="I145" s="927">
        <f t="shared" si="34"/>
        <v>217.55902490309981</v>
      </c>
      <c r="J145" s="927">
        <f t="shared" si="35"/>
        <v>38.39000157690019</v>
      </c>
      <c r="K145" s="217">
        <f t="shared" si="36"/>
        <v>195.80312241278983</v>
      </c>
      <c r="L145" s="217">
        <f t="shared" si="37"/>
        <v>239.31492739340982</v>
      </c>
      <c r="M145" s="217">
        <f t="shared" si="38"/>
        <v>44.382680823054315</v>
      </c>
      <c r="N145" s="217">
        <f t="shared" si="39"/>
        <v>52.421547153257215</v>
      </c>
      <c r="O145">
        <v>1</v>
      </c>
      <c r="P145">
        <v>1</v>
      </c>
      <c r="Q145">
        <v>2</v>
      </c>
      <c r="R145">
        <v>2</v>
      </c>
      <c r="S145">
        <v>2</v>
      </c>
    </row>
    <row r="146" spans="1:19">
      <c r="A146" s="895" t="s">
        <v>182</v>
      </c>
      <c r="B146" s="895">
        <v>2016</v>
      </c>
      <c r="C146" s="895" t="s">
        <v>95</v>
      </c>
      <c r="D146" s="217">
        <v>42.12284064</v>
      </c>
      <c r="E146" s="217">
        <v>289.55312179999999</v>
      </c>
      <c r="F146" s="217">
        <v>74.257375949999997</v>
      </c>
      <c r="G146" s="217">
        <f t="shared" si="32"/>
        <v>0.79588995807089791</v>
      </c>
      <c r="H146" s="217">
        <f t="shared" si="33"/>
        <v>0.20411004192910209</v>
      </c>
      <c r="I146" s="927">
        <f t="shared" si="34"/>
        <v>256.02797592920325</v>
      </c>
      <c r="J146" s="927">
        <f t="shared" si="35"/>
        <v>65.65968118079671</v>
      </c>
      <c r="K146" s="217">
        <f t="shared" si="36"/>
        <v>230.42517833628293</v>
      </c>
      <c r="L146" s="217">
        <f t="shared" si="37"/>
        <v>281.6307735221236</v>
      </c>
      <c r="M146" s="217">
        <f t="shared" si="38"/>
        <v>75.90915741311909</v>
      </c>
      <c r="N146" s="217">
        <f t="shared" si="39"/>
        <v>89.658294652377919</v>
      </c>
      <c r="O146">
        <v>1</v>
      </c>
      <c r="P146">
        <v>1</v>
      </c>
      <c r="Q146">
        <v>2</v>
      </c>
      <c r="R146">
        <v>2</v>
      </c>
      <c r="S146">
        <v>2</v>
      </c>
    </row>
    <row r="147" spans="1:19">
      <c r="A147" s="895" t="s">
        <v>182</v>
      </c>
      <c r="B147" s="895">
        <v>2016</v>
      </c>
      <c r="C147" s="895" t="s">
        <v>91</v>
      </c>
      <c r="D147" s="217">
        <v>200.48810539999999</v>
      </c>
      <c r="E147" s="217">
        <v>1549.222867</v>
      </c>
      <c r="F147" s="217">
        <v>247.1067505</v>
      </c>
      <c r="G147" s="217">
        <f t="shared" si="32"/>
        <v>0.86243796901600656</v>
      </c>
      <c r="H147" s="217">
        <f t="shared" si="33"/>
        <v>0.13756203098399344</v>
      </c>
      <c r="I147" s="927">
        <f t="shared" si="34"/>
        <v>1376.3143125669569</v>
      </c>
      <c r="J147" s="927">
        <f t="shared" si="35"/>
        <v>219.52719953304307</v>
      </c>
      <c r="K147" s="217">
        <f t="shared" si="36"/>
        <v>1238.6828813102613</v>
      </c>
      <c r="L147" s="217">
        <f t="shared" si="37"/>
        <v>1513.9457438236527</v>
      </c>
      <c r="M147" s="217">
        <f t="shared" si="38"/>
        <v>253.79539538015112</v>
      </c>
      <c r="N147" s="217">
        <f t="shared" si="39"/>
        <v>299.76439096237033</v>
      </c>
      <c r="O147">
        <v>1</v>
      </c>
      <c r="P147">
        <v>1</v>
      </c>
      <c r="Q147">
        <v>2</v>
      </c>
      <c r="R147">
        <v>2</v>
      </c>
      <c r="S147">
        <v>2</v>
      </c>
    </row>
    <row r="148" spans="1:19">
      <c r="A148" s="895" t="s">
        <v>182</v>
      </c>
      <c r="B148" s="895">
        <v>2016</v>
      </c>
      <c r="C148" s="895" t="s">
        <v>93</v>
      </c>
      <c r="D148" s="217">
        <v>38.525073329999998</v>
      </c>
      <c r="E148" s="217">
        <v>184.22361179999999</v>
      </c>
      <c r="F148" s="217">
        <v>78.473458320000006</v>
      </c>
      <c r="G148" s="217">
        <f t="shared" si="32"/>
        <v>0.70127775584191587</v>
      </c>
      <c r="H148" s="217">
        <f t="shared" si="33"/>
        <v>0.29872224415808413</v>
      </c>
      <c r="I148" s="927">
        <f t="shared" si="34"/>
        <v>157.20683483149236</v>
      </c>
      <c r="J148" s="927">
        <f t="shared" si="35"/>
        <v>66.96516195850765</v>
      </c>
      <c r="K148" s="217">
        <f t="shared" si="36"/>
        <v>141.48615134834313</v>
      </c>
      <c r="L148" s="217">
        <f t="shared" si="37"/>
        <v>172.92751831464162</v>
      </c>
      <c r="M148" s="217">
        <f t="shared" si="38"/>
        <v>77.418423740230708</v>
      </c>
      <c r="N148" s="217">
        <f t="shared" si="39"/>
        <v>91.440928654342201</v>
      </c>
      <c r="O148">
        <v>1</v>
      </c>
      <c r="P148">
        <v>1</v>
      </c>
      <c r="Q148">
        <v>2</v>
      </c>
      <c r="R148">
        <v>2</v>
      </c>
      <c r="S148">
        <v>2</v>
      </c>
    </row>
    <row r="149" spans="1:19">
      <c r="A149" s="895" t="s">
        <v>182</v>
      </c>
      <c r="B149" s="895">
        <v>2016</v>
      </c>
      <c r="C149" s="895" t="s">
        <v>90</v>
      </c>
      <c r="D149" s="217">
        <v>23.87659661</v>
      </c>
      <c r="E149" s="217">
        <v>118.13123659999999</v>
      </c>
      <c r="F149" s="217">
        <v>47.143342420000003</v>
      </c>
      <c r="G149" s="217">
        <f t="shared" si="32"/>
        <v>0.71475744969651289</v>
      </c>
      <c r="H149" s="217">
        <f t="shared" si="33"/>
        <v>0.28524255030348711</v>
      </c>
      <c r="I149" s="927">
        <f t="shared" si="34"/>
        <v>101.06526129960399</v>
      </c>
      <c r="J149" s="927">
        <f t="shared" si="35"/>
        <v>40.332721110396008</v>
      </c>
      <c r="K149" s="217">
        <f t="shared" si="36"/>
        <v>90.958735169643589</v>
      </c>
      <c r="L149" s="217">
        <f t="shared" si="37"/>
        <v>111.1717874295644</v>
      </c>
      <c r="M149" s="217">
        <f t="shared" si="38"/>
        <v>46.628658875728831</v>
      </c>
      <c r="N149" s="217">
        <f t="shared" si="39"/>
        <v>55.074330676245758</v>
      </c>
      <c r="O149">
        <v>1</v>
      </c>
      <c r="P149">
        <v>1</v>
      </c>
      <c r="Q149">
        <v>2</v>
      </c>
      <c r="R149">
        <v>2</v>
      </c>
      <c r="S149">
        <v>2</v>
      </c>
    </row>
    <row r="150" spans="1:19">
      <c r="A150" s="895" t="s">
        <v>182</v>
      </c>
      <c r="B150" s="895">
        <v>2016</v>
      </c>
      <c r="C150" s="895" t="s">
        <v>92</v>
      </c>
      <c r="D150" s="217">
        <v>37.7666495</v>
      </c>
      <c r="E150" s="217">
        <v>239.04981459999999</v>
      </c>
      <c r="F150" s="217">
        <v>54.729206179999998</v>
      </c>
      <c r="G150" s="217">
        <f t="shared" si="32"/>
        <v>0.81370621348423433</v>
      </c>
      <c r="H150" s="217">
        <f t="shared" si="33"/>
        <v>0.18629378651576567</v>
      </c>
      <c r="I150" s="927">
        <f t="shared" si="34"/>
        <v>208.31885723936875</v>
      </c>
      <c r="J150" s="927">
        <f t="shared" si="35"/>
        <v>47.69351404063125</v>
      </c>
      <c r="K150" s="217">
        <f t="shared" si="36"/>
        <v>187.48697151543189</v>
      </c>
      <c r="L150" s="217">
        <f t="shared" si="37"/>
        <v>229.15074296330565</v>
      </c>
      <c r="M150" s="217">
        <f t="shared" si="38"/>
        <v>55.138471582373796</v>
      </c>
      <c r="N150" s="217">
        <f t="shared" si="39"/>
        <v>65.125493422481981</v>
      </c>
      <c r="O150">
        <v>1</v>
      </c>
      <c r="P150">
        <v>1</v>
      </c>
      <c r="Q150">
        <v>2</v>
      </c>
      <c r="R150">
        <v>2</v>
      </c>
      <c r="S150">
        <v>2</v>
      </c>
    </row>
    <row r="151" spans="1:19">
      <c r="A151" s="895" t="s">
        <v>182</v>
      </c>
      <c r="B151" s="895">
        <v>2017</v>
      </c>
      <c r="C151" s="895" t="s">
        <v>99</v>
      </c>
      <c r="D151" s="217">
        <v>18.906032490000001</v>
      </c>
      <c r="E151" s="217">
        <v>146.54516190000001</v>
      </c>
      <c r="F151" s="217">
        <v>23.38092627</v>
      </c>
      <c r="G151" s="217">
        <f t="shared" si="32"/>
        <v>0.86240531679509447</v>
      </c>
      <c r="H151" s="217">
        <f t="shared" si="33"/>
        <v>0.13759468320490553</v>
      </c>
      <c r="I151" s="927">
        <f t="shared" si="34"/>
        <v>130.24049896112322</v>
      </c>
      <c r="J151" s="927">
        <f t="shared" si="35"/>
        <v>20.779556718876798</v>
      </c>
      <c r="K151" s="217">
        <f t="shared" si="36"/>
        <v>117.21644906501091</v>
      </c>
      <c r="L151" s="217">
        <f t="shared" si="37"/>
        <v>143.26454885723555</v>
      </c>
      <c r="M151" s="217">
        <f t="shared" si="38"/>
        <v>24.023245522693468</v>
      </c>
      <c r="N151" s="217">
        <f t="shared" si="39"/>
        <v>28.374484699626269</v>
      </c>
      <c r="O151">
        <v>1</v>
      </c>
      <c r="P151">
        <v>1</v>
      </c>
      <c r="Q151">
        <v>2</v>
      </c>
      <c r="R151">
        <v>2</v>
      </c>
      <c r="S151">
        <v>2</v>
      </c>
    </row>
    <row r="152" spans="1:19">
      <c r="A152" s="895" t="s">
        <v>182</v>
      </c>
      <c r="B152" s="895">
        <v>2017</v>
      </c>
      <c r="C152" s="895" t="s">
        <v>98</v>
      </c>
      <c r="D152" s="217">
        <v>37.261862579999999</v>
      </c>
      <c r="E152" s="217">
        <v>260.23631660000001</v>
      </c>
      <c r="F152" s="217">
        <v>42.353492520000003</v>
      </c>
      <c r="G152" s="217">
        <f t="shared" si="32"/>
        <v>0.86003001012104929</v>
      </c>
      <c r="H152" s="217">
        <f t="shared" si="33"/>
        <v>0.13996998987895071</v>
      </c>
      <c r="I152" s="927">
        <f t="shared" si="34"/>
        <v>228.18999654819345</v>
      </c>
      <c r="J152" s="927">
        <f t="shared" si="35"/>
        <v>37.137949991806551</v>
      </c>
      <c r="K152" s="217">
        <f t="shared" si="36"/>
        <v>205.3709968933741</v>
      </c>
      <c r="L152" s="217">
        <f t="shared" si="37"/>
        <v>251.00899620301283</v>
      </c>
      <c r="M152" s="217">
        <f t="shared" si="38"/>
        <v>42.935183985527559</v>
      </c>
      <c r="N152" s="217">
        <f t="shared" si="39"/>
        <v>50.711870713811848</v>
      </c>
      <c r="O152">
        <v>1</v>
      </c>
      <c r="P152">
        <v>1</v>
      </c>
      <c r="Q152">
        <v>2</v>
      </c>
      <c r="R152">
        <v>2</v>
      </c>
      <c r="S152">
        <v>2</v>
      </c>
    </row>
    <row r="153" spans="1:19">
      <c r="A153" s="895" t="s">
        <v>182</v>
      </c>
      <c r="B153" s="895">
        <v>2017</v>
      </c>
      <c r="C153" s="895" t="s">
        <v>95</v>
      </c>
      <c r="D153" s="217">
        <v>46.811498020000002</v>
      </c>
      <c r="E153" s="217">
        <v>306.63556069999998</v>
      </c>
      <c r="F153" s="217">
        <v>70.152138170000001</v>
      </c>
      <c r="G153" s="217">
        <f t="shared" si="32"/>
        <v>0.81381521111122046</v>
      </c>
      <c r="H153" s="217">
        <f t="shared" si="33"/>
        <v>0.18618478888877954</v>
      </c>
      <c r="I153" s="927">
        <f t="shared" si="34"/>
        <v>268.53965155642118</v>
      </c>
      <c r="J153" s="927">
        <f t="shared" si="35"/>
        <v>61.436549293578778</v>
      </c>
      <c r="K153" s="217">
        <f t="shared" si="36"/>
        <v>241.68568640077908</v>
      </c>
      <c r="L153" s="217">
        <f t="shared" si="37"/>
        <v>295.39361671206331</v>
      </c>
      <c r="M153" s="217">
        <f t="shared" si="38"/>
        <v>71.026794638306427</v>
      </c>
      <c r="N153" s="217">
        <f t="shared" si="39"/>
        <v>83.891608060381827</v>
      </c>
      <c r="O153">
        <v>1</v>
      </c>
      <c r="P153">
        <v>1</v>
      </c>
      <c r="Q153">
        <v>2</v>
      </c>
      <c r="R153">
        <v>2</v>
      </c>
      <c r="S153">
        <v>2</v>
      </c>
    </row>
    <row r="154" spans="1:19">
      <c r="A154" s="895" t="s">
        <v>182</v>
      </c>
      <c r="B154" s="895">
        <v>2017</v>
      </c>
      <c r="C154" s="895" t="s">
        <v>91</v>
      </c>
      <c r="D154" s="217">
        <v>224.15497980000001</v>
      </c>
      <c r="E154" s="217">
        <v>1622.2447179999999</v>
      </c>
      <c r="F154" s="217">
        <v>238.94343169999999</v>
      </c>
      <c r="G154" s="217">
        <f t="shared" si="32"/>
        <v>0.87161779869568012</v>
      </c>
      <c r="H154" s="217">
        <f t="shared" si="33"/>
        <v>0.12838220130431988</v>
      </c>
      <c r="I154" s="927">
        <f t="shared" si="34"/>
        <v>1426.8672479400493</v>
      </c>
      <c r="J154" s="927">
        <f t="shared" si="35"/>
        <v>210.16592195995062</v>
      </c>
      <c r="K154" s="217">
        <f t="shared" si="36"/>
        <v>1284.1805231460444</v>
      </c>
      <c r="L154" s="217">
        <f t="shared" si="37"/>
        <v>1569.5539727340545</v>
      </c>
      <c r="M154" s="217">
        <f t="shared" si="38"/>
        <v>242.97282237789895</v>
      </c>
      <c r="N154" s="217">
        <f t="shared" si="39"/>
        <v>286.98156643631262</v>
      </c>
      <c r="O154">
        <v>1</v>
      </c>
      <c r="P154">
        <v>1</v>
      </c>
      <c r="Q154">
        <v>2</v>
      </c>
      <c r="R154">
        <v>2</v>
      </c>
      <c r="S154">
        <v>2</v>
      </c>
    </row>
    <row r="155" spans="1:19">
      <c r="A155" s="895" t="s">
        <v>182</v>
      </c>
      <c r="B155" s="895">
        <v>2017</v>
      </c>
      <c r="C155" s="895" t="s">
        <v>93</v>
      </c>
      <c r="D155" s="217">
        <v>41.29029972</v>
      </c>
      <c r="E155" s="217">
        <v>192.92456290000001</v>
      </c>
      <c r="F155" s="217">
        <v>81.246074590000006</v>
      </c>
      <c r="G155" s="217">
        <f t="shared" si="32"/>
        <v>0.70366602589614169</v>
      </c>
      <c r="H155" s="217">
        <f t="shared" si="33"/>
        <v>0.29633397410385831</v>
      </c>
      <c r="I155" s="927">
        <f t="shared" si="34"/>
        <v>163.86998178796705</v>
      </c>
      <c r="J155" s="927">
        <f t="shared" si="35"/>
        <v>69.010355982032976</v>
      </c>
      <c r="K155" s="217">
        <f t="shared" si="36"/>
        <v>147.48298360917036</v>
      </c>
      <c r="L155" s="217">
        <f t="shared" si="37"/>
        <v>180.25697996676377</v>
      </c>
      <c r="M155" s="217">
        <f t="shared" si="38"/>
        <v>79.78287255082833</v>
      </c>
      <c r="N155" s="217">
        <f t="shared" si="39"/>
        <v>94.233641093466034</v>
      </c>
      <c r="O155">
        <v>1</v>
      </c>
      <c r="P155">
        <v>1</v>
      </c>
      <c r="Q155">
        <v>2</v>
      </c>
      <c r="R155">
        <v>2</v>
      </c>
      <c r="S155">
        <v>2</v>
      </c>
    </row>
    <row r="156" spans="1:19">
      <c r="A156" s="895" t="s">
        <v>182</v>
      </c>
      <c r="B156" s="895">
        <v>2017</v>
      </c>
      <c r="C156" s="895" t="s">
        <v>90</v>
      </c>
      <c r="D156" s="217">
        <v>25.616429409999999</v>
      </c>
      <c r="E156" s="217">
        <v>123.8197894</v>
      </c>
      <c r="F156" s="217">
        <v>48.797540339999998</v>
      </c>
      <c r="G156" s="217">
        <f t="shared" si="32"/>
        <v>0.71730798748016833</v>
      </c>
      <c r="H156" s="217">
        <f t="shared" si="33"/>
        <v>0.28269201251983167</v>
      </c>
      <c r="I156" s="927">
        <f t="shared" si="34"/>
        <v>105.44491997348511</v>
      </c>
      <c r="J156" s="927">
        <f t="shared" si="35"/>
        <v>41.555980356514894</v>
      </c>
      <c r="K156" s="217">
        <f t="shared" si="36"/>
        <v>94.900427976136598</v>
      </c>
      <c r="L156" s="217">
        <f t="shared" si="37"/>
        <v>115.98941197083363</v>
      </c>
      <c r="M156" s="217">
        <f t="shared" si="38"/>
        <v>48.042868890166872</v>
      </c>
      <c r="N156" s="217">
        <f t="shared" si="39"/>
        <v>56.744691176821092</v>
      </c>
      <c r="O156">
        <v>1</v>
      </c>
      <c r="P156">
        <v>1</v>
      </c>
      <c r="Q156">
        <v>2</v>
      </c>
      <c r="R156">
        <v>2</v>
      </c>
      <c r="S156">
        <v>2</v>
      </c>
    </row>
    <row r="157" spans="1:19">
      <c r="A157" s="895" t="s">
        <v>182</v>
      </c>
      <c r="B157" s="895">
        <v>2017</v>
      </c>
      <c r="C157" s="895" t="s">
        <v>92</v>
      </c>
      <c r="D157" s="217">
        <v>40.789824590000002</v>
      </c>
      <c r="E157" s="217">
        <v>251.82953259999999</v>
      </c>
      <c r="F157" s="217">
        <v>56.795327690000001</v>
      </c>
      <c r="G157" s="217">
        <f t="shared" si="32"/>
        <v>0.81597293349397659</v>
      </c>
      <c r="H157" s="217">
        <f t="shared" si="33"/>
        <v>0.18402706650602341</v>
      </c>
      <c r="I157" s="927">
        <f t="shared" si="34"/>
        <v>218.54613977259294</v>
      </c>
      <c r="J157" s="927">
        <f t="shared" si="35"/>
        <v>49.28889592740704</v>
      </c>
      <c r="K157" s="217">
        <f t="shared" si="36"/>
        <v>196.69152579533366</v>
      </c>
      <c r="L157" s="217">
        <f t="shared" si="37"/>
        <v>240.40075374985224</v>
      </c>
      <c r="M157" s="217">
        <f t="shared" si="38"/>
        <v>56.982892581675287</v>
      </c>
      <c r="N157" s="217">
        <f t="shared" si="39"/>
        <v>67.303987388874319</v>
      </c>
      <c r="O157">
        <v>1</v>
      </c>
      <c r="P157">
        <v>1</v>
      </c>
      <c r="Q157">
        <v>2</v>
      </c>
      <c r="R157">
        <v>2</v>
      </c>
      <c r="S157">
        <v>2</v>
      </c>
    </row>
    <row r="158" spans="1:19">
      <c r="A158" s="895" t="s">
        <v>182</v>
      </c>
      <c r="B158" s="895">
        <v>2018</v>
      </c>
      <c r="C158" s="895" t="s">
        <v>99</v>
      </c>
      <c r="D158" s="217">
        <v>20.34741696</v>
      </c>
      <c r="E158" s="217">
        <v>161.0247147</v>
      </c>
      <c r="F158" s="217">
        <v>26.51174121</v>
      </c>
      <c r="G158" s="217">
        <f t="shared" si="32"/>
        <v>0.85863153336584774</v>
      </c>
      <c r="H158" s="217">
        <f t="shared" si="33"/>
        <v>0.14136846663415226</v>
      </c>
      <c r="I158" s="927">
        <f t="shared" si="34"/>
        <v>143.55378087560095</v>
      </c>
      <c r="J158" s="927">
        <f t="shared" si="35"/>
        <v>23.635258074399058</v>
      </c>
      <c r="K158" s="217">
        <f t="shared" si="36"/>
        <v>129.19840278804085</v>
      </c>
      <c r="L158" s="217">
        <f t="shared" si="37"/>
        <v>157.90915896316105</v>
      </c>
      <c r="M158" s="217">
        <f t="shared" si="38"/>
        <v>27.324721859812755</v>
      </c>
      <c r="N158" s="217">
        <f t="shared" si="39"/>
        <v>32.273944900591914</v>
      </c>
      <c r="O158">
        <v>1</v>
      </c>
      <c r="P158">
        <v>1</v>
      </c>
      <c r="Q158">
        <v>2</v>
      </c>
      <c r="R158">
        <v>2</v>
      </c>
      <c r="S158">
        <v>2</v>
      </c>
    </row>
    <row r="159" spans="1:19">
      <c r="A159" s="895" t="s">
        <v>182</v>
      </c>
      <c r="B159" s="895">
        <v>2018</v>
      </c>
      <c r="C159" s="895" t="s">
        <v>98</v>
      </c>
      <c r="D159" s="217">
        <v>39.006620980000001</v>
      </c>
      <c r="E159" s="217">
        <v>293.47975259999998</v>
      </c>
      <c r="F159" s="217">
        <v>55.930038760000002</v>
      </c>
      <c r="G159" s="217">
        <f t="shared" si="32"/>
        <v>0.83992996148646903</v>
      </c>
      <c r="H159" s="217">
        <f t="shared" si="33"/>
        <v>0.16007003851353097</v>
      </c>
      <c r="I159" s="927">
        <f t="shared" si="34"/>
        <v>260.71692294255126</v>
      </c>
      <c r="J159" s="927">
        <f t="shared" si="35"/>
        <v>49.686247437448699</v>
      </c>
      <c r="K159" s="217">
        <f t="shared" si="36"/>
        <v>234.64523064829615</v>
      </c>
      <c r="L159" s="217">
        <f t="shared" si="37"/>
        <v>286.78861523680644</v>
      </c>
      <c r="M159" s="217">
        <f t="shared" si="38"/>
        <v>57.442270662434446</v>
      </c>
      <c r="N159" s="217">
        <f t="shared" si="39"/>
        <v>67.846570875836207</v>
      </c>
      <c r="O159">
        <v>1</v>
      </c>
      <c r="P159">
        <v>1</v>
      </c>
      <c r="Q159">
        <v>2</v>
      </c>
      <c r="R159">
        <v>2</v>
      </c>
      <c r="S159">
        <v>2</v>
      </c>
    </row>
    <row r="160" spans="1:19">
      <c r="A160" s="895" t="s">
        <v>182</v>
      </c>
      <c r="B160" s="895">
        <v>2018</v>
      </c>
      <c r="C160" s="895" t="s">
        <v>95</v>
      </c>
      <c r="D160" s="217">
        <v>49.497955679999997</v>
      </c>
      <c r="E160" s="217">
        <v>342.97569970000001</v>
      </c>
      <c r="F160" s="217">
        <v>78.308205540000003</v>
      </c>
      <c r="G160" s="217">
        <f t="shared" si="32"/>
        <v>0.8141201110083025</v>
      </c>
      <c r="H160" s="217">
        <f t="shared" si="33"/>
        <v>0.1858798889916975</v>
      </c>
      <c r="I160" s="927">
        <f t="shared" si="34"/>
        <v>302.67841852711439</v>
      </c>
      <c r="J160" s="927">
        <f t="shared" si="35"/>
        <v>69.107531032885646</v>
      </c>
      <c r="K160" s="217">
        <f t="shared" si="36"/>
        <v>272.41057667440293</v>
      </c>
      <c r="L160" s="217">
        <f t="shared" si="37"/>
        <v>332.94626037982584</v>
      </c>
      <c r="M160" s="217">
        <f t="shared" si="38"/>
        <v>79.895216627119098</v>
      </c>
      <c r="N160" s="217">
        <f t="shared" si="39"/>
        <v>94.36633362540536</v>
      </c>
      <c r="O160">
        <v>1</v>
      </c>
      <c r="P160">
        <v>1</v>
      </c>
      <c r="Q160">
        <v>2</v>
      </c>
      <c r="R160">
        <v>2</v>
      </c>
      <c r="S160">
        <v>2</v>
      </c>
    </row>
    <row r="161" spans="1:19">
      <c r="A161" s="895" t="s">
        <v>182</v>
      </c>
      <c r="B161" s="895">
        <v>2018</v>
      </c>
      <c r="C161" s="895" t="s">
        <v>91</v>
      </c>
      <c r="D161" s="217">
        <v>234.15257550000001</v>
      </c>
      <c r="E161" s="217">
        <v>1783.0252840000001</v>
      </c>
      <c r="F161" s="217">
        <v>283.21900970000002</v>
      </c>
      <c r="G161" s="217">
        <f t="shared" si="32"/>
        <v>0.86293053025552802</v>
      </c>
      <c r="H161" s="217">
        <f t="shared" si="33"/>
        <v>0.13706946974447198</v>
      </c>
      <c r="I161" s="927">
        <f t="shared" si="34"/>
        <v>1580.9678778630876</v>
      </c>
      <c r="J161" s="927">
        <f t="shared" si="35"/>
        <v>251.12384033691256</v>
      </c>
      <c r="K161" s="217">
        <f t="shared" si="36"/>
        <v>1422.8710900767787</v>
      </c>
      <c r="L161" s="217">
        <f t="shared" si="37"/>
        <v>1739.0646656493964</v>
      </c>
      <c r="M161" s="217">
        <f t="shared" si="38"/>
        <v>290.32427181350465</v>
      </c>
      <c r="N161" s="217">
        <f t="shared" si="39"/>
        <v>342.90960398005416</v>
      </c>
      <c r="O161">
        <v>1</v>
      </c>
      <c r="P161">
        <v>1</v>
      </c>
      <c r="Q161">
        <v>2</v>
      </c>
      <c r="R161">
        <v>2</v>
      </c>
      <c r="S161">
        <v>2</v>
      </c>
    </row>
    <row r="162" spans="1:19">
      <c r="A162" s="895" t="s">
        <v>182</v>
      </c>
      <c r="B162" s="895">
        <v>2018</v>
      </c>
      <c r="C162" s="895" t="s">
        <v>93</v>
      </c>
      <c r="D162" s="217">
        <v>41.859534510000003</v>
      </c>
      <c r="E162" s="217">
        <v>203.49220629999999</v>
      </c>
      <c r="F162" s="217">
        <v>79.282362890000002</v>
      </c>
      <c r="G162" s="217">
        <f t="shared" si="32"/>
        <v>0.71962696957826822</v>
      </c>
      <c r="H162" s="217">
        <f t="shared" si="33"/>
        <v>0.28037303042173178</v>
      </c>
      <c r="I162" s="927">
        <f t="shared" si="34"/>
        <v>173.36895633261176</v>
      </c>
      <c r="J162" s="927">
        <f t="shared" si="35"/>
        <v>67.546078347388232</v>
      </c>
      <c r="K162" s="217">
        <f t="shared" si="36"/>
        <v>156.03206069935058</v>
      </c>
      <c r="L162" s="217">
        <f t="shared" si="37"/>
        <v>190.70585196587294</v>
      </c>
      <c r="M162" s="217">
        <f t="shared" si="38"/>
        <v>78.090021177415537</v>
      </c>
      <c r="N162" s="217">
        <f t="shared" si="39"/>
        <v>92.23416998335864</v>
      </c>
      <c r="O162">
        <v>1</v>
      </c>
      <c r="P162">
        <v>1</v>
      </c>
      <c r="Q162">
        <v>2</v>
      </c>
      <c r="R162">
        <v>2</v>
      </c>
      <c r="S162">
        <v>2</v>
      </c>
    </row>
    <row r="163" spans="1:19">
      <c r="A163" s="895" t="s">
        <v>182</v>
      </c>
      <c r="B163" s="895">
        <v>2018</v>
      </c>
      <c r="C163" s="895" t="s">
        <v>90</v>
      </c>
      <c r="D163" s="217">
        <v>26.01216342</v>
      </c>
      <c r="E163" s="217">
        <v>131.25836409999999</v>
      </c>
      <c r="F163" s="217">
        <v>48.496302700000001</v>
      </c>
      <c r="G163" s="217">
        <f t="shared" si="32"/>
        <v>0.73020838032562274</v>
      </c>
      <c r="H163" s="217">
        <f t="shared" si="33"/>
        <v>0.26979161967437726</v>
      </c>
      <c r="I163" s="927">
        <f t="shared" si="34"/>
        <v>112.26406438031638</v>
      </c>
      <c r="J163" s="927">
        <f t="shared" si="35"/>
        <v>41.478438999683611</v>
      </c>
      <c r="K163" s="217">
        <f t="shared" si="36"/>
        <v>101.03765794228475</v>
      </c>
      <c r="L163" s="217">
        <f t="shared" si="37"/>
        <v>123.49047081834803</v>
      </c>
      <c r="M163" s="217">
        <f t="shared" si="38"/>
        <v>47.953223327534225</v>
      </c>
      <c r="N163" s="217">
        <f t="shared" si="39"/>
        <v>56.638808454067977</v>
      </c>
      <c r="O163">
        <v>1</v>
      </c>
      <c r="P163">
        <v>1</v>
      </c>
      <c r="Q163">
        <v>2</v>
      </c>
      <c r="R163">
        <v>2</v>
      </c>
      <c r="S163">
        <v>2</v>
      </c>
    </row>
    <row r="164" spans="1:19">
      <c r="A164" s="895" t="s">
        <v>182</v>
      </c>
      <c r="B164" s="895">
        <v>2018</v>
      </c>
      <c r="C164" s="895" t="s">
        <v>92</v>
      </c>
      <c r="D164" s="217">
        <v>41.947802209999999</v>
      </c>
      <c r="E164" s="217">
        <v>274.23873450000002</v>
      </c>
      <c r="F164" s="217">
        <v>67.986951129999994</v>
      </c>
      <c r="G164" s="217">
        <f t="shared" si="32"/>
        <v>0.80133884163357438</v>
      </c>
      <c r="H164" s="217">
        <f t="shared" si="33"/>
        <v>0.19866115836642562</v>
      </c>
      <c r="I164" s="927">
        <f t="shared" si="34"/>
        <v>240.62433126796432</v>
      </c>
      <c r="J164" s="927">
        <f t="shared" si="35"/>
        <v>59.653552152035687</v>
      </c>
      <c r="K164" s="217">
        <f t="shared" si="36"/>
        <v>216.56189814116789</v>
      </c>
      <c r="L164" s="217">
        <f t="shared" si="37"/>
        <v>264.68676439476076</v>
      </c>
      <c r="M164" s="217">
        <f t="shared" si="38"/>
        <v>68.965471642968467</v>
      </c>
      <c r="N164" s="217">
        <f t="shared" si="39"/>
        <v>81.456925463604733</v>
      </c>
      <c r="O164">
        <v>1</v>
      </c>
      <c r="P164">
        <v>1</v>
      </c>
      <c r="Q164">
        <v>2</v>
      </c>
      <c r="R164">
        <v>2</v>
      </c>
      <c r="S164">
        <v>2</v>
      </c>
    </row>
    <row r="165" spans="1:19">
      <c r="A165" s="895" t="s">
        <v>182</v>
      </c>
      <c r="B165" s="895">
        <v>2019</v>
      </c>
      <c r="C165" s="895" t="s">
        <v>99</v>
      </c>
      <c r="D165" s="217">
        <v>20.141551740000001</v>
      </c>
      <c r="E165" s="217">
        <v>155.87614210000001</v>
      </c>
      <c r="F165" s="217">
        <v>26.027143410000001</v>
      </c>
      <c r="G165" s="217">
        <f t="shared" si="32"/>
        <v>0.85691768382837052</v>
      </c>
      <c r="H165" s="217">
        <f t="shared" si="33"/>
        <v>0.14308231617162948</v>
      </c>
      <c r="I165" s="927">
        <f t="shared" si="34"/>
        <v>138.61649023424991</v>
      </c>
      <c r="J165" s="927">
        <f t="shared" si="35"/>
        <v>23.145243535750087</v>
      </c>
      <c r="K165" s="217">
        <f t="shared" si="36"/>
        <v>124.75484121082492</v>
      </c>
      <c r="L165" s="217">
        <f t="shared" si="37"/>
        <v>152.47813925767491</v>
      </c>
      <c r="M165" s="217">
        <f t="shared" si="38"/>
        <v>26.758216051680677</v>
      </c>
      <c r="N165" s="217">
        <f t="shared" si="39"/>
        <v>31.604830048066749</v>
      </c>
      <c r="O165">
        <v>1</v>
      </c>
      <c r="P165">
        <v>1</v>
      </c>
      <c r="Q165">
        <v>2</v>
      </c>
      <c r="R165">
        <v>2</v>
      </c>
      <c r="S165">
        <v>2</v>
      </c>
    </row>
    <row r="166" spans="1:19">
      <c r="A166" s="895" t="s">
        <v>182</v>
      </c>
      <c r="B166" s="895">
        <v>2019</v>
      </c>
      <c r="C166" s="895" t="s">
        <v>98</v>
      </c>
      <c r="D166" s="217">
        <v>38.80830675</v>
      </c>
      <c r="E166" s="217">
        <v>288.93796630000003</v>
      </c>
      <c r="F166" s="217">
        <v>49.788382460000001</v>
      </c>
      <c r="G166" s="217">
        <f t="shared" si="32"/>
        <v>0.85301296269905214</v>
      </c>
      <c r="H166" s="217">
        <f t="shared" si="33"/>
        <v>0.14698703730094786</v>
      </c>
      <c r="I166" s="927">
        <f t="shared" si="34"/>
        <v>255.8339775818489</v>
      </c>
      <c r="J166" s="927">
        <f t="shared" si="35"/>
        <v>44.084064428151123</v>
      </c>
      <c r="K166" s="217">
        <f t="shared" si="36"/>
        <v>230.25057982366403</v>
      </c>
      <c r="L166" s="217">
        <f t="shared" si="37"/>
        <v>281.4173753400338</v>
      </c>
      <c r="M166" s="217">
        <f t="shared" si="38"/>
        <v>50.96558688538552</v>
      </c>
      <c r="N166" s="217">
        <f t="shared" si="39"/>
        <v>60.196789976640368</v>
      </c>
      <c r="O166">
        <v>1</v>
      </c>
      <c r="P166">
        <v>1</v>
      </c>
      <c r="Q166">
        <v>2</v>
      </c>
      <c r="R166">
        <v>2</v>
      </c>
      <c r="S166">
        <v>2</v>
      </c>
    </row>
    <row r="167" spans="1:19">
      <c r="A167" s="895" t="s">
        <v>182</v>
      </c>
      <c r="B167" s="895">
        <v>2019</v>
      </c>
      <c r="C167" s="895" t="s">
        <v>95</v>
      </c>
      <c r="D167" s="217">
        <v>50.368933990000002</v>
      </c>
      <c r="E167" s="217">
        <v>335.67807049999999</v>
      </c>
      <c r="F167" s="217">
        <v>70.26573295</v>
      </c>
      <c r="G167" s="217">
        <f t="shared" si="32"/>
        <v>0.82690773364975223</v>
      </c>
      <c r="H167" s="217">
        <f t="shared" si="33"/>
        <v>0.17309226635024777</v>
      </c>
      <c r="I167" s="927">
        <f t="shared" si="34"/>
        <v>294.02760944797512</v>
      </c>
      <c r="J167" s="927">
        <f t="shared" si="35"/>
        <v>61.547260012024871</v>
      </c>
      <c r="K167" s="217">
        <f t="shared" si="36"/>
        <v>264.62484850317765</v>
      </c>
      <c r="L167" s="217">
        <f t="shared" si="37"/>
        <v>323.43037039277266</v>
      </c>
      <c r="M167" s="217">
        <f t="shared" si="38"/>
        <v>71.154787299901955</v>
      </c>
      <c r="N167" s="217">
        <f t="shared" si="39"/>
        <v>84.042783546419969</v>
      </c>
      <c r="O167">
        <v>1</v>
      </c>
      <c r="P167">
        <v>1</v>
      </c>
      <c r="Q167">
        <v>2</v>
      </c>
      <c r="R167">
        <v>2</v>
      </c>
      <c r="S167">
        <v>2</v>
      </c>
    </row>
    <row r="168" spans="1:19">
      <c r="A168" s="895" t="s">
        <v>182</v>
      </c>
      <c r="B168" s="895">
        <v>2019</v>
      </c>
      <c r="C168" s="895" t="s">
        <v>91</v>
      </c>
      <c r="D168" s="217">
        <v>240.1005778</v>
      </c>
      <c r="E168" s="217">
        <v>1748.7172250000001</v>
      </c>
      <c r="F168" s="217">
        <v>243.64697889999999</v>
      </c>
      <c r="G168" s="217">
        <f t="shared" si="32"/>
        <v>0.87770961834032779</v>
      </c>
      <c r="H168" s="217">
        <f t="shared" si="33"/>
        <v>0.12229038165967221</v>
      </c>
      <c r="I168" s="927">
        <f t="shared" si="34"/>
        <v>1537.97863849587</v>
      </c>
      <c r="J168" s="927">
        <f t="shared" si="35"/>
        <v>214.28498760413018</v>
      </c>
      <c r="K168" s="217">
        <f t="shared" si="36"/>
        <v>1384.180774646283</v>
      </c>
      <c r="L168" s="217">
        <f t="shared" si="37"/>
        <v>1691.7765023454572</v>
      </c>
      <c r="M168" s="217">
        <f t="shared" si="38"/>
        <v>247.73487416913494</v>
      </c>
      <c r="N168" s="217">
        <f t="shared" si="39"/>
        <v>292.60615057343978</v>
      </c>
      <c r="O168">
        <v>1</v>
      </c>
      <c r="P168">
        <v>1</v>
      </c>
      <c r="Q168">
        <v>2</v>
      </c>
      <c r="R168">
        <v>2</v>
      </c>
      <c r="S168">
        <v>2</v>
      </c>
    </row>
    <row r="169" spans="1:19">
      <c r="A169" s="895" t="s">
        <v>182</v>
      </c>
      <c r="B169" s="895">
        <v>2019</v>
      </c>
      <c r="C169" s="895" t="s">
        <v>93</v>
      </c>
      <c r="D169" s="217">
        <v>40.804138590000001</v>
      </c>
      <c r="E169" s="217">
        <v>201.41097139999999</v>
      </c>
      <c r="F169" s="217">
        <v>70.057544350000001</v>
      </c>
      <c r="G169" s="217">
        <f t="shared" si="32"/>
        <v>0.74193123590612919</v>
      </c>
      <c r="H169" s="217">
        <f t="shared" si="33"/>
        <v>0.25806876409387081</v>
      </c>
      <c r="I169" s="927">
        <f t="shared" si="34"/>
        <v>171.13710642583632</v>
      </c>
      <c r="J169" s="927">
        <f t="shared" si="35"/>
        <v>59.527270734163679</v>
      </c>
      <c r="K169" s="217">
        <f t="shared" si="36"/>
        <v>154.02339578325268</v>
      </c>
      <c r="L169" s="217">
        <f t="shared" si="37"/>
        <v>188.25081706841996</v>
      </c>
      <c r="M169" s="217">
        <f t="shared" si="38"/>
        <v>68.819477695766636</v>
      </c>
      <c r="N169" s="217">
        <f t="shared" si="39"/>
        <v>81.284488187500514</v>
      </c>
      <c r="O169">
        <v>1</v>
      </c>
      <c r="P169">
        <v>1</v>
      </c>
      <c r="Q169">
        <v>2</v>
      </c>
      <c r="R169">
        <v>2</v>
      </c>
      <c r="S169">
        <v>2</v>
      </c>
    </row>
    <row r="170" spans="1:19">
      <c r="A170" s="895" t="s">
        <v>182</v>
      </c>
      <c r="B170" s="895">
        <v>2019</v>
      </c>
      <c r="C170" s="895" t="s">
        <v>90</v>
      </c>
      <c r="D170" s="217">
        <v>25.378519359999999</v>
      </c>
      <c r="E170" s="217">
        <v>129.74280759999999</v>
      </c>
      <c r="F170" s="217">
        <v>42.659404639999998</v>
      </c>
      <c r="G170" s="217">
        <f t="shared" si="32"/>
        <v>0.75255883271025481</v>
      </c>
      <c r="H170" s="217">
        <f t="shared" si="33"/>
        <v>0.24744116728974519</v>
      </c>
      <c r="I170" s="927">
        <f t="shared" si="34"/>
        <v>110.64397869452378</v>
      </c>
      <c r="J170" s="927">
        <f t="shared" si="35"/>
        <v>36.379714185476203</v>
      </c>
      <c r="K170" s="217">
        <f t="shared" si="36"/>
        <v>99.579580825071403</v>
      </c>
      <c r="L170" s="217">
        <f t="shared" si="37"/>
        <v>121.70837656397617</v>
      </c>
      <c r="M170" s="217">
        <f t="shared" si="38"/>
        <v>42.058587569829044</v>
      </c>
      <c r="N170" s="217">
        <f t="shared" si="39"/>
        <v>49.676499720267763</v>
      </c>
      <c r="O170">
        <v>1</v>
      </c>
      <c r="P170">
        <v>1</v>
      </c>
      <c r="Q170">
        <v>2</v>
      </c>
      <c r="R170">
        <v>2</v>
      </c>
      <c r="S170">
        <v>2</v>
      </c>
    </row>
    <row r="171" spans="1:19">
      <c r="A171" s="895" t="s">
        <v>182</v>
      </c>
      <c r="B171" s="895">
        <v>2019</v>
      </c>
      <c r="C171" s="895" t="s">
        <v>92</v>
      </c>
      <c r="D171" s="217">
        <v>41.308844239999999</v>
      </c>
      <c r="E171" s="217">
        <v>268.35933929999999</v>
      </c>
      <c r="F171" s="217">
        <v>56.18741558</v>
      </c>
      <c r="G171" s="217">
        <f t="shared" si="32"/>
        <v>0.82687420306890735</v>
      </c>
      <c r="H171" s="217">
        <f t="shared" si="33"/>
        <v>0.17312579693109265</v>
      </c>
      <c r="I171" s="927">
        <f t="shared" si="34"/>
        <v>234.20212163935236</v>
      </c>
      <c r="J171" s="927">
        <f t="shared" si="35"/>
        <v>49.035789000647625</v>
      </c>
      <c r="K171" s="217">
        <f t="shared" si="36"/>
        <v>210.78190947541714</v>
      </c>
      <c r="L171" s="217">
        <f t="shared" si="37"/>
        <v>257.62233380328763</v>
      </c>
      <c r="M171" s="217">
        <f t="shared" si="38"/>
        <v>56.690275663648727</v>
      </c>
      <c r="N171" s="217">
        <f t="shared" si="39"/>
        <v>66.958369880384339</v>
      </c>
      <c r="O171">
        <v>1</v>
      </c>
      <c r="P171">
        <v>1</v>
      </c>
      <c r="Q171">
        <v>2</v>
      </c>
      <c r="R171">
        <v>2</v>
      </c>
      <c r="S171">
        <v>2</v>
      </c>
    </row>
    <row r="172" spans="1:19">
      <c r="A172" s="895" t="s">
        <v>182</v>
      </c>
      <c r="B172" s="895">
        <v>2020</v>
      </c>
      <c r="C172" s="895" t="s">
        <v>99</v>
      </c>
      <c r="D172" s="217">
        <v>17.842395379999999</v>
      </c>
      <c r="E172" s="217">
        <v>129.21013379999999</v>
      </c>
      <c r="F172" s="217">
        <v>19.924269160000001</v>
      </c>
      <c r="G172" s="217">
        <f t="shared" si="32"/>
        <v>0.8664005838723613</v>
      </c>
      <c r="H172" s="217">
        <f t="shared" si="33"/>
        <v>0.1335994161276387</v>
      </c>
      <c r="I172" s="927">
        <f t="shared" si="34"/>
        <v>113.75147202508647</v>
      </c>
      <c r="J172" s="927">
        <f t="shared" si="35"/>
        <v>17.540535554913525</v>
      </c>
      <c r="K172" s="217">
        <f t="shared" si="36"/>
        <v>102.37632482257783</v>
      </c>
      <c r="L172" s="217">
        <f t="shared" si="37"/>
        <v>125.12661922759513</v>
      </c>
      <c r="M172" s="217">
        <f t="shared" si="38"/>
        <v>20.278613155035529</v>
      </c>
      <c r="N172" s="217">
        <f t="shared" si="39"/>
        <v>23.951601300234422</v>
      </c>
      <c r="O172">
        <v>1</v>
      </c>
      <c r="P172">
        <v>1</v>
      </c>
      <c r="Q172">
        <v>2</v>
      </c>
      <c r="R172">
        <v>2</v>
      </c>
      <c r="S172">
        <v>2</v>
      </c>
    </row>
    <row r="173" spans="1:19">
      <c r="A173" s="895" t="s">
        <v>182</v>
      </c>
      <c r="B173" s="895">
        <v>2020</v>
      </c>
      <c r="C173" s="895" t="s">
        <v>98</v>
      </c>
      <c r="D173" s="217">
        <v>32.47687913</v>
      </c>
      <c r="E173" s="217">
        <v>229.5904032</v>
      </c>
      <c r="F173" s="217">
        <v>38.413641740000003</v>
      </c>
      <c r="G173" s="217">
        <f t="shared" ref="G173:G192" si="40">E173/(E173+F173)</f>
        <v>0.85666767921879716</v>
      </c>
      <c r="H173" s="217">
        <f t="shared" ref="H173:H192" si="41">1-G173</f>
        <v>0.14333232078120284</v>
      </c>
      <c r="I173" s="927">
        <f t="shared" ref="I173:I192" si="42">E173-(D173*G173)</f>
        <v>201.76851052743351</v>
      </c>
      <c r="J173" s="927">
        <f t="shared" ref="J173:J192" si="43">F173-(D173*H173)</f>
        <v>33.758655282566494</v>
      </c>
      <c r="K173" s="217">
        <f t="shared" ref="K173:K192" si="44">I173*$B$5</f>
        <v>181.59165947469015</v>
      </c>
      <c r="L173" s="217">
        <f t="shared" ref="L173:L192" si="45">I173*$B$4</f>
        <v>221.94536158017686</v>
      </c>
      <c r="M173" s="217">
        <f t="shared" ref="M173:M192" si="46">J173*$B$7</f>
        <v>39.028381372175126</v>
      </c>
      <c r="N173" s="217">
        <f t="shared" ref="N173:N192" si="47">J173*$B$6</f>
        <v>46.097443788344556</v>
      </c>
      <c r="O173">
        <v>1</v>
      </c>
      <c r="P173">
        <v>1</v>
      </c>
      <c r="Q173">
        <v>2</v>
      </c>
      <c r="R173">
        <v>2</v>
      </c>
      <c r="S173">
        <v>2</v>
      </c>
    </row>
    <row r="174" spans="1:19">
      <c r="A174" s="895" t="s">
        <v>182</v>
      </c>
      <c r="B174" s="895">
        <v>2020</v>
      </c>
      <c r="C174" s="895" t="s">
        <v>95</v>
      </c>
      <c r="D174" s="217">
        <v>42.461037429999998</v>
      </c>
      <c r="E174" s="217">
        <v>272.27944339999999</v>
      </c>
      <c r="F174" s="217">
        <v>58.957623409999997</v>
      </c>
      <c r="G174" s="217">
        <f t="shared" si="40"/>
        <v>0.822007772325135</v>
      </c>
      <c r="H174" s="217">
        <f t="shared" si="41"/>
        <v>0.177992227674865</v>
      </c>
      <c r="I174" s="927">
        <f t="shared" si="42"/>
        <v>237.37614061155153</v>
      </c>
      <c r="J174" s="927">
        <f t="shared" si="43"/>
        <v>51.39988876844847</v>
      </c>
      <c r="K174" s="217">
        <f t="shared" si="44"/>
        <v>213.63852655039639</v>
      </c>
      <c r="L174" s="217">
        <f t="shared" si="45"/>
        <v>261.1137546727067</v>
      </c>
      <c r="M174" s="217">
        <f t="shared" si="46"/>
        <v>59.423411405203282</v>
      </c>
      <c r="N174" s="217">
        <f t="shared" si="47"/>
        <v>70.186548113316391</v>
      </c>
      <c r="O174">
        <v>1</v>
      </c>
      <c r="P174">
        <v>1</v>
      </c>
      <c r="Q174">
        <v>2</v>
      </c>
      <c r="R174">
        <v>2</v>
      </c>
      <c r="S174">
        <v>2</v>
      </c>
    </row>
    <row r="175" spans="1:19">
      <c r="A175" s="895" t="s">
        <v>182</v>
      </c>
      <c r="B175" s="895">
        <v>2020</v>
      </c>
      <c r="C175" s="895" t="s">
        <v>91</v>
      </c>
      <c r="D175" s="217">
        <v>202.34762549999999</v>
      </c>
      <c r="E175" s="217">
        <v>1396.1442360000001</v>
      </c>
      <c r="F175" s="217">
        <v>185.48484550000001</v>
      </c>
      <c r="G175" s="217">
        <f t="shared" si="40"/>
        <v>0.88272544576375123</v>
      </c>
      <c r="H175" s="217">
        <f t="shared" si="41"/>
        <v>0.11727455423624877</v>
      </c>
      <c r="I175" s="927">
        <f t="shared" si="42"/>
        <v>1217.5268380812761</v>
      </c>
      <c r="J175" s="927">
        <f t="shared" si="43"/>
        <v>161.75461791872411</v>
      </c>
      <c r="K175" s="217">
        <f t="shared" si="44"/>
        <v>1095.7741542731485</v>
      </c>
      <c r="L175" s="217">
        <f t="shared" si="45"/>
        <v>1339.2795218894039</v>
      </c>
      <c r="M175" s="217">
        <f t="shared" si="46"/>
        <v>187.00451377583695</v>
      </c>
      <c r="N175" s="217">
        <f t="shared" si="47"/>
        <v>220.87593076801778</v>
      </c>
      <c r="O175">
        <v>1</v>
      </c>
      <c r="P175">
        <v>1</v>
      </c>
      <c r="Q175">
        <v>2</v>
      </c>
      <c r="R175">
        <v>2</v>
      </c>
      <c r="S175">
        <v>2</v>
      </c>
    </row>
    <row r="176" spans="1:19">
      <c r="A176" s="895" t="s">
        <v>182</v>
      </c>
      <c r="B176" s="895">
        <v>2020</v>
      </c>
      <c r="C176" s="895" t="s">
        <v>93</v>
      </c>
      <c r="D176" s="217">
        <v>33.571129030000002</v>
      </c>
      <c r="E176" s="217">
        <v>162.02162820000001</v>
      </c>
      <c r="F176" s="217">
        <v>55.392530999999998</v>
      </c>
      <c r="G176" s="217">
        <f t="shared" si="40"/>
        <v>0.74522114289233476</v>
      </c>
      <c r="H176" s="217">
        <f t="shared" si="41"/>
        <v>0.25477885710766524</v>
      </c>
      <c r="I176" s="927">
        <f t="shared" si="42"/>
        <v>137.00371305607737</v>
      </c>
      <c r="J176" s="927">
        <f t="shared" si="43"/>
        <v>46.839317113922633</v>
      </c>
      <c r="K176" s="217">
        <f t="shared" si="44"/>
        <v>123.30334175046964</v>
      </c>
      <c r="L176" s="217">
        <f t="shared" si="45"/>
        <v>150.70408436168512</v>
      </c>
      <c r="M176" s="217">
        <f t="shared" si="46"/>
        <v>54.150934515405964</v>
      </c>
      <c r="N176" s="217">
        <f t="shared" si="47"/>
        <v>63.959087519061363</v>
      </c>
      <c r="O176">
        <v>1</v>
      </c>
      <c r="P176">
        <v>1</v>
      </c>
      <c r="Q176">
        <v>2</v>
      </c>
      <c r="R176">
        <v>2</v>
      </c>
      <c r="S176">
        <v>2</v>
      </c>
    </row>
    <row r="177" spans="1:19">
      <c r="A177" s="895" t="s">
        <v>182</v>
      </c>
      <c r="B177" s="895">
        <v>2020</v>
      </c>
      <c r="C177" s="895" t="s">
        <v>90</v>
      </c>
      <c r="D177" s="217">
        <v>20.90774789</v>
      </c>
      <c r="E177" s="217">
        <v>104.0268602</v>
      </c>
      <c r="F177" s="217">
        <v>33.661366200000003</v>
      </c>
      <c r="G177" s="217">
        <f t="shared" si="40"/>
        <v>0.75552473090756578</v>
      </c>
      <c r="H177" s="217">
        <f t="shared" si="41"/>
        <v>0.24447526909243422</v>
      </c>
      <c r="I177" s="927">
        <f t="shared" si="42"/>
        <v>88.230539601524526</v>
      </c>
      <c r="J177" s="927">
        <f t="shared" si="43"/>
        <v>28.549938908475479</v>
      </c>
      <c r="K177" s="217">
        <f t="shared" si="44"/>
        <v>79.407485641372077</v>
      </c>
      <c r="L177" s="217">
        <f t="shared" si="45"/>
        <v>97.05359356167699</v>
      </c>
      <c r="M177" s="217">
        <f t="shared" si="46"/>
        <v>33.006584372088504</v>
      </c>
      <c r="N177" s="217">
        <f t="shared" si="47"/>
        <v>38.984941579523273</v>
      </c>
      <c r="O177">
        <v>1</v>
      </c>
      <c r="P177">
        <v>1</v>
      </c>
      <c r="Q177">
        <v>2</v>
      </c>
      <c r="R177">
        <v>2</v>
      </c>
      <c r="S177">
        <v>2</v>
      </c>
    </row>
    <row r="178" spans="1:19" ht="15" thickBot="1">
      <c r="A178" s="895" t="s">
        <v>182</v>
      </c>
      <c r="B178" s="895">
        <v>2020</v>
      </c>
      <c r="C178" s="895" t="s">
        <v>92</v>
      </c>
      <c r="D178" s="217">
        <v>34.482912949999999</v>
      </c>
      <c r="E178" s="217">
        <v>210.72664739999999</v>
      </c>
      <c r="F178" s="217">
        <v>43.925173090000001</v>
      </c>
      <c r="G178" s="217">
        <f t="shared" si="40"/>
        <v>0.82750889820665974</v>
      </c>
      <c r="H178" s="217">
        <f t="shared" si="41"/>
        <v>0.17249110179334026</v>
      </c>
      <c r="I178" s="927">
        <f t="shared" si="42"/>
        <v>182.19173009778933</v>
      </c>
      <c r="J178" s="927">
        <f t="shared" si="43"/>
        <v>37.97717744221066</v>
      </c>
      <c r="K178" s="217">
        <f t="shared" si="44"/>
        <v>163.9725570880104</v>
      </c>
      <c r="L178" s="217">
        <f t="shared" si="45"/>
        <v>200.41090310756829</v>
      </c>
      <c r="M178" s="217">
        <f t="shared" si="46"/>
        <v>43.905414840939748</v>
      </c>
      <c r="N178" s="217">
        <f t="shared" si="47"/>
        <v>51.857835797338666</v>
      </c>
      <c r="O178">
        <v>1</v>
      </c>
      <c r="P178">
        <v>1</v>
      </c>
      <c r="Q178">
        <v>2</v>
      </c>
      <c r="R178">
        <v>2</v>
      </c>
      <c r="S178">
        <v>2</v>
      </c>
    </row>
    <row r="179" spans="1:19">
      <c r="A179" s="919" t="s">
        <v>182</v>
      </c>
      <c r="B179" s="920">
        <v>2021</v>
      </c>
      <c r="C179" s="920" t="s">
        <v>99</v>
      </c>
      <c r="D179" s="928">
        <v>17.95401275</v>
      </c>
      <c r="E179" s="928">
        <v>141.63028159999999</v>
      </c>
      <c r="F179" s="928">
        <v>20.194568220000001</v>
      </c>
      <c r="G179" s="928">
        <f t="shared" si="40"/>
        <v>0.8752072488096686</v>
      </c>
      <c r="H179" s="928">
        <f t="shared" si="41"/>
        <v>0.1247927511903314</v>
      </c>
      <c r="I179" s="929">
        <f t="shared" si="42"/>
        <v>125.91679949597878</v>
      </c>
      <c r="J179" s="929">
        <f t="shared" si="43"/>
        <v>17.954037574021214</v>
      </c>
      <c r="K179" s="928">
        <f t="shared" si="44"/>
        <v>113.3251195463809</v>
      </c>
      <c r="L179" s="928">
        <f t="shared" si="45"/>
        <v>138.50847944557665</v>
      </c>
      <c r="M179" s="928">
        <f t="shared" si="46"/>
        <v>20.756662839325926</v>
      </c>
      <c r="N179" s="928">
        <f t="shared" si="47"/>
        <v>24.51623830732597</v>
      </c>
      <c r="O179" s="921">
        <v>1</v>
      </c>
      <c r="P179" s="921">
        <v>1</v>
      </c>
      <c r="Q179" s="921">
        <v>2</v>
      </c>
      <c r="R179" s="921">
        <v>2</v>
      </c>
      <c r="S179" s="922">
        <v>2</v>
      </c>
    </row>
    <row r="180" spans="1:19">
      <c r="A180" s="440" t="s">
        <v>182</v>
      </c>
      <c r="B180" s="895">
        <v>2021</v>
      </c>
      <c r="C180" s="895" t="s">
        <v>98</v>
      </c>
      <c r="D180" s="217">
        <v>33.86508645</v>
      </c>
      <c r="E180" s="217">
        <v>241.6899727</v>
      </c>
      <c r="F180" s="217">
        <v>41.586427440000001</v>
      </c>
      <c r="G180" s="217">
        <f t="shared" si="40"/>
        <v>0.85319487461910948</v>
      </c>
      <c r="H180" s="217">
        <f t="shared" si="41"/>
        <v>0.14680512538089052</v>
      </c>
      <c r="I180" s="927">
        <f t="shared" si="42"/>
        <v>212.79645451232693</v>
      </c>
      <c r="J180" s="927">
        <f t="shared" si="43"/>
        <v>36.614859177673054</v>
      </c>
      <c r="K180" s="217">
        <f t="shared" si="44"/>
        <v>191.51680906109425</v>
      </c>
      <c r="L180" s="217">
        <f t="shared" si="45"/>
        <v>234.07609996355964</v>
      </c>
      <c r="M180" s="217">
        <f t="shared" si="46"/>
        <v>42.330438695307819</v>
      </c>
      <c r="N180" s="217">
        <f t="shared" si="47"/>
        <v>49.997590207112559</v>
      </c>
      <c r="O180">
        <v>1</v>
      </c>
      <c r="P180">
        <v>1</v>
      </c>
      <c r="Q180">
        <v>2</v>
      </c>
      <c r="R180">
        <v>2</v>
      </c>
      <c r="S180" s="923">
        <v>2</v>
      </c>
    </row>
    <row r="181" spans="1:19">
      <c r="A181" s="440" t="s">
        <v>182</v>
      </c>
      <c r="B181" s="895">
        <v>2021</v>
      </c>
      <c r="C181" s="895" t="s">
        <v>95</v>
      </c>
      <c r="D181" s="217">
        <v>43.140427270000004</v>
      </c>
      <c r="E181" s="217">
        <v>297.53292690000001</v>
      </c>
      <c r="F181" s="217">
        <v>59.334248870000003</v>
      </c>
      <c r="G181" s="217">
        <f t="shared" si="40"/>
        <v>0.83373576249489312</v>
      </c>
      <c r="H181" s="217">
        <f t="shared" si="41"/>
        <v>0.16626423750510688</v>
      </c>
      <c r="I181" s="927">
        <f t="shared" si="42"/>
        <v>261.5652098756911</v>
      </c>
      <c r="J181" s="927">
        <f t="shared" si="43"/>
        <v>52.161538624308932</v>
      </c>
      <c r="K181" s="217">
        <f t="shared" si="44"/>
        <v>235.40868888812199</v>
      </c>
      <c r="L181" s="217">
        <f t="shared" si="45"/>
        <v>287.72173086326023</v>
      </c>
      <c r="M181" s="217">
        <f t="shared" si="46"/>
        <v>60.303954803563563</v>
      </c>
      <c r="N181" s="217">
        <f t="shared" si="47"/>
        <v>71.226580991493861</v>
      </c>
      <c r="O181">
        <v>1</v>
      </c>
      <c r="P181">
        <v>1</v>
      </c>
      <c r="Q181">
        <v>2</v>
      </c>
      <c r="R181">
        <v>2</v>
      </c>
      <c r="S181" s="923">
        <v>2</v>
      </c>
    </row>
    <row r="182" spans="1:19">
      <c r="A182" s="440" t="s">
        <v>182</v>
      </c>
      <c r="B182" s="895">
        <v>2021</v>
      </c>
      <c r="C182" s="895" t="s">
        <v>91</v>
      </c>
      <c r="D182" s="217">
        <v>201.32608949999999</v>
      </c>
      <c r="E182" s="217">
        <v>1495.4943780000001</v>
      </c>
      <c r="F182" s="217">
        <v>207.21108319999999</v>
      </c>
      <c r="G182" s="217">
        <f t="shared" si="40"/>
        <v>0.87830479908488357</v>
      </c>
      <c r="H182" s="217">
        <f t="shared" si="41"/>
        <v>0.12169520091511643</v>
      </c>
      <c r="I182" s="927">
        <f t="shared" si="42"/>
        <v>1318.6687074111574</v>
      </c>
      <c r="J182" s="927">
        <f t="shared" si="43"/>
        <v>182.71066428884279</v>
      </c>
      <c r="K182" s="217">
        <f t="shared" si="44"/>
        <v>1186.8018366700417</v>
      </c>
      <c r="L182" s="217">
        <f t="shared" si="45"/>
        <v>1450.5355781522733</v>
      </c>
      <c r="M182" s="217">
        <f t="shared" si="46"/>
        <v>211.23179898433116</v>
      </c>
      <c r="N182" s="217">
        <f t="shared" si="47"/>
        <v>249.49141208641487</v>
      </c>
      <c r="O182">
        <v>1</v>
      </c>
      <c r="P182">
        <v>1</v>
      </c>
      <c r="Q182">
        <v>2</v>
      </c>
      <c r="R182">
        <v>2</v>
      </c>
      <c r="S182" s="923">
        <v>2</v>
      </c>
    </row>
    <row r="183" spans="1:19">
      <c r="A183" s="440" t="s">
        <v>182</v>
      </c>
      <c r="B183" s="895">
        <v>2021</v>
      </c>
      <c r="C183" s="895" t="s">
        <v>93</v>
      </c>
      <c r="D183" s="217">
        <v>29.856437889999999</v>
      </c>
      <c r="E183" s="217">
        <v>155.6368913</v>
      </c>
      <c r="F183" s="217">
        <v>69.411980229999998</v>
      </c>
      <c r="G183" s="217">
        <f t="shared" si="40"/>
        <v>0.69156930333353361</v>
      </c>
      <c r="H183" s="217">
        <f t="shared" si="41"/>
        <v>0.30843069666646639</v>
      </c>
      <c r="I183" s="927">
        <f t="shared" si="42"/>
        <v>134.9890953483918</v>
      </c>
      <c r="J183" s="927">
        <f t="shared" si="43"/>
        <v>60.203338291608212</v>
      </c>
      <c r="K183" s="217">
        <f t="shared" si="44"/>
        <v>121.49018581355263</v>
      </c>
      <c r="L183" s="217">
        <f t="shared" si="45"/>
        <v>148.48800488323099</v>
      </c>
      <c r="M183" s="217">
        <f t="shared" si="46"/>
        <v>69.601079398928263</v>
      </c>
      <c r="N183" s="217">
        <f t="shared" si="47"/>
        <v>82.207658437191029</v>
      </c>
      <c r="O183">
        <v>1</v>
      </c>
      <c r="P183">
        <v>1</v>
      </c>
      <c r="Q183">
        <v>2</v>
      </c>
      <c r="R183">
        <v>2</v>
      </c>
      <c r="S183" s="923">
        <v>2</v>
      </c>
    </row>
    <row r="184" spans="1:19">
      <c r="A184" s="440" t="s">
        <v>182</v>
      </c>
      <c r="B184" s="895">
        <v>2021</v>
      </c>
      <c r="C184" s="895" t="s">
        <v>90</v>
      </c>
      <c r="D184" s="217">
        <v>18.687069520000001</v>
      </c>
      <c r="E184" s="217">
        <v>100.28163069999999</v>
      </c>
      <c r="F184" s="217">
        <v>41.945154309999999</v>
      </c>
      <c r="G184" s="217">
        <f t="shared" si="40"/>
        <v>0.70508259532794171</v>
      </c>
      <c r="H184" s="217">
        <f t="shared" si="41"/>
        <v>0.29491740467205829</v>
      </c>
      <c r="I184" s="927">
        <f t="shared" si="42"/>
        <v>87.105703223764721</v>
      </c>
      <c r="J184" s="927">
        <f t="shared" si="43"/>
        <v>36.434012266235271</v>
      </c>
      <c r="K184" s="217">
        <f t="shared" si="44"/>
        <v>78.395132901388251</v>
      </c>
      <c r="L184" s="217">
        <f t="shared" si="45"/>
        <v>95.816273546141204</v>
      </c>
      <c r="M184" s="217">
        <f t="shared" si="46"/>
        <v>42.121361580994602</v>
      </c>
      <c r="N184" s="217">
        <f t="shared" si="47"/>
        <v>49.750643749544267</v>
      </c>
      <c r="O184">
        <v>1</v>
      </c>
      <c r="P184">
        <v>1</v>
      </c>
      <c r="Q184">
        <v>2</v>
      </c>
      <c r="R184">
        <v>2</v>
      </c>
      <c r="S184" s="923">
        <v>2</v>
      </c>
    </row>
    <row r="185" spans="1:19" ht="15" thickBot="1">
      <c r="A185" s="924" t="s">
        <v>182</v>
      </c>
      <c r="B185" s="925">
        <v>2021</v>
      </c>
      <c r="C185" s="925" t="s">
        <v>92</v>
      </c>
      <c r="D185" s="930">
        <v>31.52266663</v>
      </c>
      <c r="E185" s="930">
        <v>207.02088499999999</v>
      </c>
      <c r="F185" s="930">
        <v>51.45962316</v>
      </c>
      <c r="G185" s="930">
        <f t="shared" si="40"/>
        <v>0.80091487932178473</v>
      </c>
      <c r="H185" s="930">
        <f t="shared" si="41"/>
        <v>0.19908512067821527</v>
      </c>
      <c r="I185" s="931">
        <f t="shared" si="42"/>
        <v>181.7739122601327</v>
      </c>
      <c r="J185" s="931">
        <f t="shared" si="43"/>
        <v>45.183929269867299</v>
      </c>
      <c r="K185" s="930">
        <f t="shared" si="44"/>
        <v>163.59652103411943</v>
      </c>
      <c r="L185" s="930">
        <f t="shared" si="45"/>
        <v>199.951303486146</v>
      </c>
      <c r="M185" s="930">
        <f t="shared" si="46"/>
        <v>52.237140628893592</v>
      </c>
      <c r="N185" s="930">
        <f t="shared" si="47"/>
        <v>61.698655418003803</v>
      </c>
      <c r="O185" s="504">
        <v>1</v>
      </c>
      <c r="P185" s="504">
        <v>1</v>
      </c>
      <c r="Q185" s="504">
        <v>2</v>
      </c>
      <c r="R185" s="504">
        <v>2</v>
      </c>
      <c r="S185" s="926">
        <v>2</v>
      </c>
    </row>
    <row r="186" spans="1:19">
      <c r="A186" s="895" t="s">
        <v>182</v>
      </c>
      <c r="B186" s="895">
        <v>2022</v>
      </c>
      <c r="C186" s="895" t="s">
        <v>99</v>
      </c>
      <c r="D186" s="217">
        <v>19.94769054</v>
      </c>
      <c r="E186" s="217">
        <v>174.44249690000001</v>
      </c>
      <c r="F186" s="217">
        <v>21.639491939999999</v>
      </c>
      <c r="G186" s="217">
        <f t="shared" si="40"/>
        <v>0.88964059336598478</v>
      </c>
      <c r="H186" s="217">
        <f t="shared" si="41"/>
        <v>0.11035940663401522</v>
      </c>
      <c r="I186" s="927">
        <f t="shared" si="42"/>
        <v>156.69622165171336</v>
      </c>
      <c r="J186" s="927">
        <f t="shared" si="43"/>
        <v>19.438076648286639</v>
      </c>
      <c r="K186" s="217">
        <f t="shared" si="44"/>
        <v>141.02659948654204</v>
      </c>
      <c r="L186" s="217">
        <f t="shared" si="45"/>
        <v>172.36584381688471</v>
      </c>
      <c r="M186" s="217">
        <f t="shared" si="46"/>
        <v>22.472360413084186</v>
      </c>
      <c r="N186" s="217">
        <f t="shared" si="47"/>
        <v>26.542693663235408</v>
      </c>
      <c r="O186">
        <v>1</v>
      </c>
      <c r="P186">
        <v>1</v>
      </c>
      <c r="Q186">
        <v>2</v>
      </c>
      <c r="R186">
        <v>2</v>
      </c>
      <c r="S186">
        <v>2</v>
      </c>
    </row>
    <row r="187" spans="1:19">
      <c r="A187" s="895" t="s">
        <v>182</v>
      </c>
      <c r="B187" s="895">
        <v>2022</v>
      </c>
      <c r="C187" s="895" t="s">
        <v>98</v>
      </c>
      <c r="D187" s="217">
        <v>35.970946230000003</v>
      </c>
      <c r="E187" s="217">
        <v>302.07964800000002</v>
      </c>
      <c r="F187" s="217">
        <v>44.057437950000001</v>
      </c>
      <c r="G187" s="217">
        <f t="shared" si="40"/>
        <v>0.87271679418840387</v>
      </c>
      <c r="H187" s="217">
        <f t="shared" si="41"/>
        <v>0.12728320581159613</v>
      </c>
      <c r="I187" s="927">
        <f t="shared" si="42"/>
        <v>270.68719912223094</v>
      </c>
      <c r="J187" s="927">
        <f t="shared" si="43"/>
        <v>39.478940597769054</v>
      </c>
      <c r="K187" s="217">
        <f t="shared" si="44"/>
        <v>243.61847921000785</v>
      </c>
      <c r="L187" s="217">
        <f t="shared" si="45"/>
        <v>297.75591903445405</v>
      </c>
      <c r="M187" s="217">
        <f t="shared" si="46"/>
        <v>45.641603225080807</v>
      </c>
      <c r="N187" s="217">
        <f t="shared" si="47"/>
        <v>53.908493386253646</v>
      </c>
      <c r="O187">
        <v>1</v>
      </c>
      <c r="P187">
        <v>1</v>
      </c>
      <c r="Q187">
        <v>2</v>
      </c>
      <c r="R187">
        <v>2</v>
      </c>
      <c r="S187">
        <v>2</v>
      </c>
    </row>
    <row r="188" spans="1:19">
      <c r="A188" s="895" t="s">
        <v>182</v>
      </c>
      <c r="B188" s="895">
        <v>2022</v>
      </c>
      <c r="C188" s="895" t="s">
        <v>95</v>
      </c>
      <c r="D188" s="217">
        <v>47.72522077</v>
      </c>
      <c r="E188" s="217">
        <v>365.93415850000002</v>
      </c>
      <c r="F188" s="217">
        <v>57.873759470000003</v>
      </c>
      <c r="G188" s="217">
        <f t="shared" si="40"/>
        <v>0.86344342090820336</v>
      </c>
      <c r="H188" s="217">
        <f t="shared" si="41"/>
        <v>0.13655657909179664</v>
      </c>
      <c r="I188" s="927">
        <f t="shared" si="42"/>
        <v>324.72613061475198</v>
      </c>
      <c r="J188" s="927">
        <f t="shared" si="43"/>
        <v>51.356566585248046</v>
      </c>
      <c r="K188" s="217">
        <f t="shared" si="44"/>
        <v>292.25351755327677</v>
      </c>
      <c r="L188" s="217">
        <f t="shared" si="45"/>
        <v>357.1987436762272</v>
      </c>
      <c r="M188" s="217">
        <f t="shared" si="46"/>
        <v>59.373326629205273</v>
      </c>
      <c r="N188" s="217">
        <f t="shared" si="47"/>
        <v>70.127391672156222</v>
      </c>
      <c r="O188">
        <v>1</v>
      </c>
      <c r="P188">
        <v>1</v>
      </c>
      <c r="Q188">
        <v>2</v>
      </c>
      <c r="R188">
        <v>2</v>
      </c>
      <c r="S188">
        <v>2</v>
      </c>
    </row>
    <row r="189" spans="1:19">
      <c r="A189" s="895" t="s">
        <v>182</v>
      </c>
      <c r="B189" s="895">
        <v>2022</v>
      </c>
      <c r="C189" s="895" t="s">
        <v>91</v>
      </c>
      <c r="D189" s="217">
        <v>211.9039769</v>
      </c>
      <c r="E189" s="217">
        <v>1835.666939</v>
      </c>
      <c r="F189" s="217">
        <v>202.7783565</v>
      </c>
      <c r="G189" s="217">
        <f t="shared" si="40"/>
        <v>0.90052303245633014</v>
      </c>
      <c r="H189" s="217">
        <f t="shared" si="41"/>
        <v>9.9476967543669859E-2</v>
      </c>
      <c r="I189" s="927">
        <f t="shared" si="42"/>
        <v>1644.8425271324559</v>
      </c>
      <c r="J189" s="927">
        <f t="shared" si="43"/>
        <v>181.69879146754414</v>
      </c>
      <c r="K189" s="217">
        <f t="shared" si="44"/>
        <v>1480.3582744192104</v>
      </c>
      <c r="L189" s="217">
        <f t="shared" si="45"/>
        <v>1809.3267798457016</v>
      </c>
      <c r="M189" s="217">
        <f t="shared" si="46"/>
        <v>210.0619728156278</v>
      </c>
      <c r="N189" s="217">
        <f t="shared" si="47"/>
        <v>248.10969974893155</v>
      </c>
      <c r="O189">
        <v>1</v>
      </c>
      <c r="P189">
        <v>1</v>
      </c>
      <c r="Q189">
        <v>2</v>
      </c>
      <c r="R189">
        <v>2</v>
      </c>
      <c r="S189">
        <v>2</v>
      </c>
    </row>
    <row r="190" spans="1:19">
      <c r="A190" s="895" t="s">
        <v>182</v>
      </c>
      <c r="B190" s="895">
        <v>2022</v>
      </c>
      <c r="C190" s="895" t="s">
        <v>93</v>
      </c>
      <c r="D190" s="217">
        <v>32.360505860000004</v>
      </c>
      <c r="E190" s="217">
        <v>201.54410580000001</v>
      </c>
      <c r="F190" s="217">
        <v>60.490549710000003</v>
      </c>
      <c r="G190" s="217">
        <f t="shared" si="40"/>
        <v>0.76915057440678303</v>
      </c>
      <c r="H190" s="217">
        <f t="shared" si="41"/>
        <v>0.23084942559321697</v>
      </c>
      <c r="I190" s="927">
        <f t="shared" si="42"/>
        <v>176.65400412968694</v>
      </c>
      <c r="J190" s="927">
        <f t="shared" si="43"/>
        <v>53.020145520313072</v>
      </c>
      <c r="K190" s="217">
        <f t="shared" si="44"/>
        <v>158.98860371671825</v>
      </c>
      <c r="L190" s="217">
        <f t="shared" si="45"/>
        <v>194.31940454265566</v>
      </c>
      <c r="M190" s="217">
        <f t="shared" si="46"/>
        <v>61.29659023603395</v>
      </c>
      <c r="N190" s="217">
        <f t="shared" si="47"/>
        <v>72.399008707987505</v>
      </c>
      <c r="O190">
        <v>1</v>
      </c>
      <c r="P190">
        <v>1</v>
      </c>
      <c r="Q190">
        <v>2</v>
      </c>
      <c r="R190">
        <v>2</v>
      </c>
      <c r="S190">
        <v>2</v>
      </c>
    </row>
    <row r="191" spans="1:19">
      <c r="A191" s="895" t="s">
        <v>182</v>
      </c>
      <c r="B191" s="895">
        <v>2022</v>
      </c>
      <c r="C191" s="895" t="s">
        <v>90</v>
      </c>
      <c r="D191" s="217">
        <v>20.240468360000001</v>
      </c>
      <c r="E191" s="217">
        <v>129.88248110000001</v>
      </c>
      <c r="F191" s="217">
        <v>36.89831642</v>
      </c>
      <c r="G191" s="217">
        <f t="shared" si="40"/>
        <v>0.7787616022427567</v>
      </c>
      <c r="H191" s="217">
        <f t="shared" si="41"/>
        <v>0.2212383977572433</v>
      </c>
      <c r="I191" s="927">
        <f t="shared" si="42"/>
        <v>114.11998152982258</v>
      </c>
      <c r="J191" s="927">
        <f t="shared" si="43"/>
        <v>32.420347630177424</v>
      </c>
      <c r="K191" s="217">
        <f t="shared" si="44"/>
        <v>102.70798337684033</v>
      </c>
      <c r="L191" s="217">
        <f t="shared" si="45"/>
        <v>125.53197968280485</v>
      </c>
      <c r="M191" s="217">
        <f t="shared" si="46"/>
        <v>37.481163895248123</v>
      </c>
      <c r="N191" s="217">
        <f t="shared" si="47"/>
        <v>44.269984689007281</v>
      </c>
      <c r="O191">
        <v>1</v>
      </c>
      <c r="P191">
        <v>1</v>
      </c>
      <c r="Q191">
        <v>2</v>
      </c>
      <c r="R191">
        <v>2</v>
      </c>
      <c r="S191">
        <v>2</v>
      </c>
    </row>
    <row r="192" spans="1:19">
      <c r="A192" s="895" t="s">
        <v>182</v>
      </c>
      <c r="B192" s="895">
        <v>2022</v>
      </c>
      <c r="C192" s="895" t="s">
        <v>92</v>
      </c>
      <c r="D192" s="217">
        <v>33.983690789999997</v>
      </c>
      <c r="E192" s="217">
        <v>268.60700700000001</v>
      </c>
      <c r="F192" s="217">
        <v>49.070206519999999</v>
      </c>
      <c r="G192" s="217">
        <f t="shared" si="40"/>
        <v>0.84553438386001623</v>
      </c>
      <c r="H192" s="217">
        <f t="shared" si="41"/>
        <v>0.15446561613998377</v>
      </c>
      <c r="I192" s="927">
        <f t="shared" si="42"/>
        <v>239.87262794658807</v>
      </c>
      <c r="J192" s="927">
        <f t="shared" si="43"/>
        <v>43.820894783411958</v>
      </c>
      <c r="K192" s="217">
        <f t="shared" si="44"/>
        <v>215.88536515192928</v>
      </c>
      <c r="L192" s="217">
        <f t="shared" si="45"/>
        <v>263.85989074124689</v>
      </c>
      <c r="M192" s="217">
        <f t="shared" si="46"/>
        <v>50.661336459102571</v>
      </c>
      <c r="N192" s="217">
        <f t="shared" si="47"/>
        <v>59.837431826749039</v>
      </c>
      <c r="O192">
        <v>1</v>
      </c>
      <c r="P192">
        <v>1</v>
      </c>
      <c r="Q192">
        <v>2</v>
      </c>
      <c r="R192">
        <v>2</v>
      </c>
      <c r="S192">
        <v>2</v>
      </c>
    </row>
    <row r="194" spans="1:9" s="1075" customFormat="1">
      <c r="A194" s="1065" t="s">
        <v>2247</v>
      </c>
    </row>
    <row r="195" spans="1:9" s="1075" customFormat="1"/>
    <row r="196" spans="1:9">
      <c r="A196" s="895" t="s">
        <v>1022</v>
      </c>
      <c r="B196" s="895" t="s">
        <v>101</v>
      </c>
      <c r="C196" s="895" t="s">
        <v>102</v>
      </c>
      <c r="D196" s="960" t="s">
        <v>2249</v>
      </c>
      <c r="E196" s="901" t="s">
        <v>2250</v>
      </c>
      <c r="F196" s="960" t="s">
        <v>2251</v>
      </c>
      <c r="G196" s="960" t="s">
        <v>2252</v>
      </c>
      <c r="H196" s="901" t="s">
        <v>2253</v>
      </c>
      <c r="I196" s="901" t="s">
        <v>2254</v>
      </c>
    </row>
    <row r="197" spans="1:9">
      <c r="A197" s="895" t="s">
        <v>2248</v>
      </c>
      <c r="B197" s="895">
        <f t="shared" ref="B197:C216" si="48">B109</f>
        <v>2011</v>
      </c>
      <c r="C197" s="895" t="str">
        <f t="shared" si="48"/>
        <v>Acryl</v>
      </c>
      <c r="D197" s="961">
        <f t="shared" ref="D197:D228" si="49">E109</f>
        <v>154.79480140000001</v>
      </c>
      <c r="E197" s="962">
        <f t="shared" ref="E197:E228" si="50">F20</f>
        <v>14.88017883</v>
      </c>
      <c r="F197" s="961">
        <f t="shared" ref="F197:F228" si="51">D197*$B$7</f>
        <v>178.95826989854004</v>
      </c>
      <c r="G197" s="961">
        <f t="shared" ref="G197:G228" si="52">D197*$B$6</f>
        <v>211.37230131170003</v>
      </c>
      <c r="H197" s="962">
        <f t="shared" ref="H197:H228" si="53">E197*$B$7</f>
        <v>17.202974745363001</v>
      </c>
      <c r="I197" s="962">
        <f t="shared" ref="I197:I228" si="54">E197*$B$6</f>
        <v>20.318884192365001</v>
      </c>
    </row>
    <row r="198" spans="1:9">
      <c r="A198" s="895" t="s">
        <v>2248</v>
      </c>
      <c r="B198" s="895">
        <f t="shared" si="48"/>
        <v>2011</v>
      </c>
      <c r="C198" s="895" t="str">
        <f t="shared" si="48"/>
        <v>OTHER</v>
      </c>
      <c r="D198" s="961">
        <f t="shared" si="49"/>
        <v>284.40419350000002</v>
      </c>
      <c r="E198" s="962">
        <f t="shared" si="50"/>
        <v>26.8794705</v>
      </c>
      <c r="F198" s="961">
        <f t="shared" si="51"/>
        <v>328.79968810535007</v>
      </c>
      <c r="G198" s="961">
        <f t="shared" si="52"/>
        <v>388.35392622425007</v>
      </c>
      <c r="H198" s="962">
        <f t="shared" si="53"/>
        <v>31.075355845050005</v>
      </c>
      <c r="I198" s="962">
        <f t="shared" si="54"/>
        <v>36.703916967750004</v>
      </c>
    </row>
    <row r="199" spans="1:9">
      <c r="A199" s="895" t="s">
        <v>2248</v>
      </c>
      <c r="B199" s="895">
        <f t="shared" si="48"/>
        <v>2011</v>
      </c>
      <c r="C199" s="895" t="str">
        <f t="shared" si="48"/>
        <v>PA</v>
      </c>
      <c r="D199" s="961">
        <f t="shared" si="49"/>
        <v>344.29726210000001</v>
      </c>
      <c r="E199" s="962">
        <f t="shared" si="50"/>
        <v>35.543951159999999</v>
      </c>
      <c r="F199" s="961">
        <f t="shared" si="51"/>
        <v>398.04206471381008</v>
      </c>
      <c r="G199" s="961">
        <f t="shared" si="52"/>
        <v>470.13791139755006</v>
      </c>
      <c r="H199" s="962">
        <f t="shared" si="53"/>
        <v>41.092361936076003</v>
      </c>
      <c r="I199" s="962">
        <f t="shared" si="54"/>
        <v>48.535265308980001</v>
      </c>
    </row>
    <row r="200" spans="1:9">
      <c r="A200" s="895" t="s">
        <v>2248</v>
      </c>
      <c r="B200" s="895">
        <f t="shared" si="48"/>
        <v>2011</v>
      </c>
      <c r="C200" s="895" t="str">
        <f t="shared" si="48"/>
        <v>PET</v>
      </c>
      <c r="D200" s="961">
        <f t="shared" si="49"/>
        <v>1556.854681</v>
      </c>
      <c r="E200" s="962">
        <f t="shared" si="50"/>
        <v>165.93556570000001</v>
      </c>
      <c r="F200" s="961">
        <f t="shared" si="51"/>
        <v>1799.8796967041003</v>
      </c>
      <c r="G200" s="961">
        <f t="shared" si="52"/>
        <v>2125.8850669055005</v>
      </c>
      <c r="H200" s="962">
        <f t="shared" si="53"/>
        <v>191.83810750577004</v>
      </c>
      <c r="I200" s="962">
        <f t="shared" si="54"/>
        <v>226.58501496335003</v>
      </c>
    </row>
    <row r="201" spans="1:9">
      <c r="A201" s="895" t="s">
        <v>2248</v>
      </c>
      <c r="B201" s="895">
        <f t="shared" si="48"/>
        <v>2011</v>
      </c>
      <c r="C201" s="895" t="str">
        <f t="shared" si="48"/>
        <v>PUR</v>
      </c>
      <c r="D201" s="961">
        <f t="shared" si="49"/>
        <v>193.65664330000001</v>
      </c>
      <c r="E201" s="962">
        <f t="shared" si="50"/>
        <v>18.855066050000001</v>
      </c>
      <c r="F201" s="961">
        <f t="shared" si="51"/>
        <v>223.88644531913005</v>
      </c>
      <c r="G201" s="961">
        <f t="shared" si="52"/>
        <v>264.43814642615007</v>
      </c>
      <c r="H201" s="962">
        <f t="shared" si="53"/>
        <v>21.798341860405003</v>
      </c>
      <c r="I201" s="962">
        <f t="shared" si="54"/>
        <v>25.746592691275005</v>
      </c>
    </row>
    <row r="202" spans="1:9">
      <c r="A202" s="895" t="s">
        <v>2248</v>
      </c>
      <c r="B202" s="895">
        <f t="shared" si="48"/>
        <v>2011</v>
      </c>
      <c r="C202" s="895" t="str">
        <f t="shared" si="48"/>
        <v>PVC</v>
      </c>
      <c r="D202" s="961">
        <f t="shared" si="49"/>
        <v>125.237415</v>
      </c>
      <c r="E202" s="962">
        <f t="shared" si="50"/>
        <v>12.144934279999999</v>
      </c>
      <c r="F202" s="961">
        <f t="shared" si="51"/>
        <v>144.78697548150001</v>
      </c>
      <c r="G202" s="961">
        <f t="shared" si="52"/>
        <v>171.01169018250002</v>
      </c>
      <c r="H202" s="962">
        <f t="shared" si="53"/>
        <v>14.040758521108001</v>
      </c>
      <c r="I202" s="962">
        <f t="shared" si="54"/>
        <v>16.583907759340001</v>
      </c>
    </row>
    <row r="203" spans="1:9">
      <c r="A203" s="895" t="s">
        <v>2248</v>
      </c>
      <c r="B203" s="895">
        <f t="shared" si="48"/>
        <v>2011</v>
      </c>
      <c r="C203" s="895" t="str">
        <f t="shared" si="48"/>
        <v>RUBBER</v>
      </c>
      <c r="D203" s="961">
        <f t="shared" si="49"/>
        <v>265.05502430000001</v>
      </c>
      <c r="E203" s="962">
        <f t="shared" si="50"/>
        <v>25.408375240000002</v>
      </c>
      <c r="F203" s="961">
        <f t="shared" si="51"/>
        <v>306.43011359323003</v>
      </c>
      <c r="G203" s="961">
        <f t="shared" si="52"/>
        <v>361.93263568165008</v>
      </c>
      <c r="H203" s="962">
        <f t="shared" si="53"/>
        <v>29.374622614964004</v>
      </c>
      <c r="I203" s="962">
        <f t="shared" si="54"/>
        <v>34.695136390220007</v>
      </c>
    </row>
    <row r="204" spans="1:9">
      <c r="A204" s="895" t="s">
        <v>2248</v>
      </c>
      <c r="B204" s="895">
        <f t="shared" si="48"/>
        <v>2012</v>
      </c>
      <c r="C204" s="895" t="str">
        <f t="shared" si="48"/>
        <v>Acryl</v>
      </c>
      <c r="D204" s="961">
        <f t="shared" si="49"/>
        <v>118.0618427</v>
      </c>
      <c r="E204" s="962">
        <f t="shared" si="50"/>
        <v>11.6254262</v>
      </c>
      <c r="F204" s="961">
        <f t="shared" si="51"/>
        <v>136.49129634547</v>
      </c>
      <c r="G204" s="961">
        <f t="shared" si="52"/>
        <v>161.21344620685002</v>
      </c>
      <c r="H204" s="962">
        <f t="shared" si="53"/>
        <v>13.440155229820002</v>
      </c>
      <c r="I204" s="962">
        <f t="shared" si="54"/>
        <v>15.874519476100001</v>
      </c>
    </row>
    <row r="205" spans="1:9">
      <c r="A205" s="895" t="s">
        <v>2248</v>
      </c>
      <c r="B205" s="895">
        <f t="shared" si="48"/>
        <v>2012</v>
      </c>
      <c r="C205" s="895" t="str">
        <f t="shared" si="48"/>
        <v>OTHER</v>
      </c>
      <c r="D205" s="961">
        <f t="shared" si="49"/>
        <v>231.35441180000001</v>
      </c>
      <c r="E205" s="962">
        <f t="shared" si="50"/>
        <v>22.082020279999998</v>
      </c>
      <c r="F205" s="961">
        <f t="shared" si="51"/>
        <v>267.46883548198002</v>
      </c>
      <c r="G205" s="961">
        <f t="shared" si="52"/>
        <v>315.91444931290005</v>
      </c>
      <c r="H205" s="962">
        <f t="shared" si="53"/>
        <v>25.529023645708001</v>
      </c>
      <c r="I205" s="962">
        <f t="shared" si="54"/>
        <v>30.152998692340002</v>
      </c>
    </row>
    <row r="206" spans="1:9">
      <c r="A206" s="895" t="s">
        <v>2248</v>
      </c>
      <c r="B206" s="895">
        <f t="shared" si="48"/>
        <v>2012</v>
      </c>
      <c r="C206" s="895" t="str">
        <f t="shared" si="48"/>
        <v>PA</v>
      </c>
      <c r="D206" s="961">
        <f t="shared" si="49"/>
        <v>255.0306353</v>
      </c>
      <c r="E206" s="962">
        <f t="shared" si="50"/>
        <v>25.704587830000001</v>
      </c>
      <c r="F206" s="961">
        <f t="shared" si="51"/>
        <v>294.84091747033006</v>
      </c>
      <c r="G206" s="961">
        <f t="shared" si="52"/>
        <v>348.24433250215003</v>
      </c>
      <c r="H206" s="962">
        <f t="shared" si="53"/>
        <v>29.717073990263003</v>
      </c>
      <c r="I206" s="962">
        <f t="shared" si="54"/>
        <v>35.099614681865006</v>
      </c>
    </row>
    <row r="207" spans="1:9">
      <c r="A207" s="895" t="s">
        <v>2248</v>
      </c>
      <c r="B207" s="895">
        <f t="shared" si="48"/>
        <v>2012</v>
      </c>
      <c r="C207" s="895" t="str">
        <f t="shared" si="48"/>
        <v>PET</v>
      </c>
      <c r="D207" s="961">
        <f t="shared" si="49"/>
        <v>1356.107812</v>
      </c>
      <c r="E207" s="962">
        <f t="shared" si="50"/>
        <v>151.22031179999999</v>
      </c>
      <c r="F207" s="961">
        <f t="shared" si="51"/>
        <v>1567.7962414532001</v>
      </c>
      <c r="G207" s="961">
        <f t="shared" si="52"/>
        <v>1851.7652172860003</v>
      </c>
      <c r="H207" s="962">
        <f t="shared" si="53"/>
        <v>174.82580247198001</v>
      </c>
      <c r="I207" s="962">
        <f t="shared" si="54"/>
        <v>206.49133576290001</v>
      </c>
    </row>
    <row r="208" spans="1:9">
      <c r="A208" s="895" t="s">
        <v>2248</v>
      </c>
      <c r="B208" s="895">
        <f t="shared" si="48"/>
        <v>2012</v>
      </c>
      <c r="C208" s="895" t="str">
        <f t="shared" si="48"/>
        <v>PUR</v>
      </c>
      <c r="D208" s="961">
        <f t="shared" si="49"/>
        <v>176.59557899999999</v>
      </c>
      <c r="E208" s="962">
        <f t="shared" si="50"/>
        <v>16.410014790000002</v>
      </c>
      <c r="F208" s="961">
        <f t="shared" si="51"/>
        <v>204.16214888190001</v>
      </c>
      <c r="G208" s="961">
        <f t="shared" si="52"/>
        <v>241.1412631245</v>
      </c>
      <c r="H208" s="962">
        <f t="shared" si="53"/>
        <v>18.971618098719006</v>
      </c>
      <c r="I208" s="962">
        <f t="shared" si="54"/>
        <v>22.407875195745007</v>
      </c>
    </row>
    <row r="209" spans="1:9">
      <c r="A209" s="895" t="s">
        <v>2248</v>
      </c>
      <c r="B209" s="895">
        <f t="shared" si="48"/>
        <v>2012</v>
      </c>
      <c r="C209" s="895" t="str">
        <f t="shared" si="48"/>
        <v>PVC</v>
      </c>
      <c r="D209" s="961">
        <f t="shared" si="49"/>
        <v>113.5729643</v>
      </c>
      <c r="E209" s="962">
        <f t="shared" si="50"/>
        <v>10.55823487</v>
      </c>
      <c r="F209" s="961">
        <f t="shared" si="51"/>
        <v>131.30170402723002</v>
      </c>
      <c r="G209" s="961">
        <f t="shared" si="52"/>
        <v>155.08388275165001</v>
      </c>
      <c r="H209" s="962">
        <f t="shared" si="53"/>
        <v>12.206375333207001</v>
      </c>
      <c r="I209" s="962">
        <f t="shared" si="54"/>
        <v>14.417269714985002</v>
      </c>
    </row>
    <row r="210" spans="1:9">
      <c r="A210" s="895" t="s">
        <v>2248</v>
      </c>
      <c r="B210" s="895">
        <f t="shared" si="48"/>
        <v>2012</v>
      </c>
      <c r="C210" s="895" t="str">
        <f t="shared" si="48"/>
        <v>RUBBER</v>
      </c>
      <c r="D210" s="961">
        <f t="shared" si="49"/>
        <v>233.94698829999999</v>
      </c>
      <c r="E210" s="962">
        <f t="shared" si="50"/>
        <v>22.08549344</v>
      </c>
      <c r="F210" s="961">
        <f t="shared" si="51"/>
        <v>270.46611317362999</v>
      </c>
      <c r="G210" s="961">
        <f t="shared" si="52"/>
        <v>319.45461252365004</v>
      </c>
      <c r="H210" s="962">
        <f t="shared" si="53"/>
        <v>25.533038965984005</v>
      </c>
      <c r="I210" s="962">
        <f t="shared" si="54"/>
        <v>30.157741292320004</v>
      </c>
    </row>
    <row r="211" spans="1:9">
      <c r="A211" s="895" t="s">
        <v>2248</v>
      </c>
      <c r="B211" s="895">
        <f t="shared" si="48"/>
        <v>2013</v>
      </c>
      <c r="C211" s="895" t="str">
        <f t="shared" si="48"/>
        <v>Acryl</v>
      </c>
      <c r="D211" s="961">
        <f t="shared" si="49"/>
        <v>124.4614761</v>
      </c>
      <c r="E211" s="962">
        <f t="shared" si="50"/>
        <v>13.75505044</v>
      </c>
      <c r="F211" s="961">
        <f t="shared" si="51"/>
        <v>143.88991251921001</v>
      </c>
      <c r="G211" s="961">
        <f t="shared" si="52"/>
        <v>169.95214561455001</v>
      </c>
      <c r="H211" s="962">
        <f t="shared" si="53"/>
        <v>15.902213813684002</v>
      </c>
      <c r="I211" s="962">
        <f t="shared" si="54"/>
        <v>18.782521375820004</v>
      </c>
    </row>
    <row r="212" spans="1:9">
      <c r="A212" s="895" t="s">
        <v>2248</v>
      </c>
      <c r="B212" s="895">
        <f t="shared" si="48"/>
        <v>2013</v>
      </c>
      <c r="C212" s="895" t="str">
        <f t="shared" si="48"/>
        <v>OTHER</v>
      </c>
      <c r="D212" s="961">
        <f t="shared" si="49"/>
        <v>241.3969587</v>
      </c>
      <c r="E212" s="962">
        <f t="shared" si="50"/>
        <v>26.373243429999999</v>
      </c>
      <c r="F212" s="961">
        <f t="shared" si="51"/>
        <v>279.07902395307002</v>
      </c>
      <c r="G212" s="961">
        <f t="shared" si="52"/>
        <v>329.62754710485001</v>
      </c>
      <c r="H212" s="962">
        <f t="shared" si="53"/>
        <v>30.490106729423001</v>
      </c>
      <c r="I212" s="962">
        <f t="shared" si="54"/>
        <v>36.012663903665</v>
      </c>
    </row>
    <row r="213" spans="1:9">
      <c r="A213" s="895" t="s">
        <v>2248</v>
      </c>
      <c r="B213" s="895">
        <f t="shared" si="48"/>
        <v>2013</v>
      </c>
      <c r="C213" s="895" t="str">
        <f t="shared" si="48"/>
        <v>PA</v>
      </c>
      <c r="D213" s="961">
        <f t="shared" si="49"/>
        <v>266.1203342</v>
      </c>
      <c r="E213" s="962">
        <f t="shared" si="50"/>
        <v>29.860490800000001</v>
      </c>
      <c r="F213" s="961">
        <f t="shared" si="51"/>
        <v>307.66171836862003</v>
      </c>
      <c r="G213" s="961">
        <f t="shared" si="52"/>
        <v>363.38731635010004</v>
      </c>
      <c r="H213" s="962">
        <f t="shared" si="53"/>
        <v>34.521713413880008</v>
      </c>
      <c r="I213" s="962">
        <f t="shared" si="54"/>
        <v>40.774500187400008</v>
      </c>
    </row>
    <row r="214" spans="1:9">
      <c r="A214" s="895" t="s">
        <v>2248</v>
      </c>
      <c r="B214" s="895">
        <f t="shared" si="48"/>
        <v>2013</v>
      </c>
      <c r="C214" s="895" t="str">
        <f t="shared" si="48"/>
        <v>PET</v>
      </c>
      <c r="D214" s="961">
        <f t="shared" si="49"/>
        <v>1426.866741</v>
      </c>
      <c r="E214" s="962">
        <f t="shared" si="50"/>
        <v>176.01498960000001</v>
      </c>
      <c r="F214" s="961">
        <f t="shared" si="51"/>
        <v>1649.6006392701001</v>
      </c>
      <c r="G214" s="961">
        <f t="shared" si="52"/>
        <v>1948.3865348355002</v>
      </c>
      <c r="H214" s="962">
        <f t="shared" si="53"/>
        <v>203.49092947656004</v>
      </c>
      <c r="I214" s="962">
        <f t="shared" si="54"/>
        <v>240.34846829880004</v>
      </c>
    </row>
    <row r="215" spans="1:9">
      <c r="A215" s="895" t="s">
        <v>2248</v>
      </c>
      <c r="B215" s="895">
        <f t="shared" si="48"/>
        <v>2013</v>
      </c>
      <c r="C215" s="895" t="str">
        <f t="shared" si="48"/>
        <v>PUR</v>
      </c>
      <c r="D215" s="961">
        <f t="shared" si="49"/>
        <v>182.33374789999999</v>
      </c>
      <c r="E215" s="962">
        <f t="shared" si="50"/>
        <v>17.78924628</v>
      </c>
      <c r="F215" s="961">
        <f t="shared" si="51"/>
        <v>210.79604594719001</v>
      </c>
      <c r="G215" s="961">
        <f t="shared" si="52"/>
        <v>248.97673275745001</v>
      </c>
      <c r="H215" s="962">
        <f t="shared" si="53"/>
        <v>20.566147624308002</v>
      </c>
      <c r="I215" s="962">
        <f t="shared" si="54"/>
        <v>24.291215795340005</v>
      </c>
    </row>
    <row r="216" spans="1:9">
      <c r="A216" s="895" t="s">
        <v>2248</v>
      </c>
      <c r="B216" s="895">
        <f t="shared" si="48"/>
        <v>2013</v>
      </c>
      <c r="C216" s="895" t="str">
        <f t="shared" si="48"/>
        <v>PVC</v>
      </c>
      <c r="D216" s="961">
        <f t="shared" si="49"/>
        <v>117.31112760000001</v>
      </c>
      <c r="E216" s="962">
        <f t="shared" si="50"/>
        <v>11.52437542</v>
      </c>
      <c r="F216" s="961">
        <f t="shared" si="51"/>
        <v>135.62339461836001</v>
      </c>
      <c r="G216" s="961">
        <f t="shared" si="52"/>
        <v>160.18834473780004</v>
      </c>
      <c r="H216" s="962">
        <f t="shared" si="53"/>
        <v>13.323330423062002</v>
      </c>
      <c r="I216" s="962">
        <f t="shared" si="54"/>
        <v>15.736534636010003</v>
      </c>
    </row>
    <row r="217" spans="1:9">
      <c r="A217" s="895" t="s">
        <v>2248</v>
      </c>
      <c r="B217" s="895">
        <f t="shared" ref="B217:C236" si="55">B129</f>
        <v>2013</v>
      </c>
      <c r="C217" s="895" t="str">
        <f t="shared" si="55"/>
        <v>RUBBER</v>
      </c>
      <c r="D217" s="961">
        <f t="shared" si="49"/>
        <v>242.25254770000001</v>
      </c>
      <c r="E217" s="962">
        <f t="shared" si="50"/>
        <v>25.210982940000001</v>
      </c>
      <c r="F217" s="961">
        <f t="shared" si="51"/>
        <v>280.06817039597001</v>
      </c>
      <c r="G217" s="961">
        <f t="shared" si="52"/>
        <v>330.79585388435004</v>
      </c>
      <c r="H217" s="962">
        <f t="shared" si="53"/>
        <v>29.146417376934004</v>
      </c>
      <c r="I217" s="962">
        <f t="shared" si="54"/>
        <v>34.425597204570003</v>
      </c>
    </row>
    <row r="218" spans="1:9">
      <c r="A218" s="895" t="s">
        <v>2248</v>
      </c>
      <c r="B218" s="895">
        <f t="shared" si="55"/>
        <v>2014</v>
      </c>
      <c r="C218" s="895" t="str">
        <f t="shared" si="55"/>
        <v>Acryl</v>
      </c>
      <c r="D218" s="961">
        <f t="shared" si="49"/>
        <v>140.069447</v>
      </c>
      <c r="E218" s="962">
        <f t="shared" si="50"/>
        <v>17.677083199999998</v>
      </c>
      <c r="F218" s="961">
        <f t="shared" si="51"/>
        <v>161.93428767670002</v>
      </c>
      <c r="G218" s="961">
        <f t="shared" si="52"/>
        <v>191.26482987850002</v>
      </c>
      <c r="H218" s="962">
        <f t="shared" si="53"/>
        <v>20.43647588752</v>
      </c>
      <c r="I218" s="962">
        <f t="shared" si="54"/>
        <v>24.138057109600002</v>
      </c>
    </row>
    <row r="219" spans="1:9">
      <c r="A219" s="895" t="s">
        <v>2248</v>
      </c>
      <c r="B219" s="895">
        <f t="shared" si="55"/>
        <v>2014</v>
      </c>
      <c r="C219" s="895" t="str">
        <f t="shared" si="55"/>
        <v>OTHER</v>
      </c>
      <c r="D219" s="961">
        <f t="shared" si="49"/>
        <v>265.04560600000002</v>
      </c>
      <c r="E219" s="962">
        <f t="shared" si="50"/>
        <v>31.737233310000001</v>
      </c>
      <c r="F219" s="961">
        <f t="shared" si="51"/>
        <v>306.41922509660003</v>
      </c>
      <c r="G219" s="961">
        <f t="shared" si="52"/>
        <v>361.91977499300009</v>
      </c>
      <c r="H219" s="962">
        <f t="shared" si="53"/>
        <v>36.691415429691006</v>
      </c>
      <c r="I219" s="962">
        <f t="shared" si="54"/>
        <v>43.337192084805004</v>
      </c>
    </row>
    <row r="220" spans="1:9">
      <c r="A220" s="895" t="s">
        <v>2248</v>
      </c>
      <c r="B220" s="895">
        <f t="shared" si="55"/>
        <v>2014</v>
      </c>
      <c r="C220" s="895" t="str">
        <f t="shared" si="55"/>
        <v>PA</v>
      </c>
      <c r="D220" s="961">
        <f t="shared" si="49"/>
        <v>292.05010800000002</v>
      </c>
      <c r="E220" s="962">
        <f t="shared" si="50"/>
        <v>37.394253259999999</v>
      </c>
      <c r="F220" s="961">
        <f t="shared" si="51"/>
        <v>337.63912985880006</v>
      </c>
      <c r="G220" s="961">
        <f t="shared" si="52"/>
        <v>398.7944224740001</v>
      </c>
      <c r="H220" s="962">
        <f t="shared" si="53"/>
        <v>43.231496193886002</v>
      </c>
      <c r="I220" s="962">
        <f t="shared" si="54"/>
        <v>51.061852826530007</v>
      </c>
    </row>
    <row r="221" spans="1:9">
      <c r="A221" s="895" t="s">
        <v>2248</v>
      </c>
      <c r="B221" s="895">
        <f t="shared" si="55"/>
        <v>2014</v>
      </c>
      <c r="C221" s="895" t="str">
        <f t="shared" si="55"/>
        <v>PET</v>
      </c>
      <c r="D221" s="961">
        <f t="shared" si="49"/>
        <v>1561.442695</v>
      </c>
      <c r="E221" s="962">
        <f t="shared" si="50"/>
        <v>216.2397374</v>
      </c>
      <c r="F221" s="961">
        <f t="shared" si="51"/>
        <v>1805.1838996895001</v>
      </c>
      <c r="G221" s="961">
        <f t="shared" si="52"/>
        <v>2132.1500000225001</v>
      </c>
      <c r="H221" s="962">
        <f t="shared" si="53"/>
        <v>249.99476040814002</v>
      </c>
      <c r="I221" s="962">
        <f t="shared" si="54"/>
        <v>295.2753614197</v>
      </c>
    </row>
    <row r="222" spans="1:9">
      <c r="A222" s="895" t="s">
        <v>2248</v>
      </c>
      <c r="B222" s="895">
        <f t="shared" si="55"/>
        <v>2014</v>
      </c>
      <c r="C222" s="895" t="str">
        <f t="shared" si="55"/>
        <v>PUR</v>
      </c>
      <c r="D222" s="961">
        <f t="shared" si="49"/>
        <v>196.34233850000001</v>
      </c>
      <c r="E222" s="962">
        <f t="shared" si="50"/>
        <v>19.173431069999999</v>
      </c>
      <c r="F222" s="961">
        <f t="shared" si="51"/>
        <v>226.99137753985005</v>
      </c>
      <c r="G222" s="961">
        <f t="shared" si="52"/>
        <v>268.10546322175003</v>
      </c>
      <c r="H222" s="962">
        <f t="shared" si="53"/>
        <v>22.166403660027001</v>
      </c>
      <c r="I222" s="962">
        <f t="shared" si="54"/>
        <v>26.181320126085001</v>
      </c>
    </row>
    <row r="223" spans="1:9">
      <c r="A223" s="895" t="s">
        <v>2248</v>
      </c>
      <c r="B223" s="895">
        <f t="shared" si="55"/>
        <v>2014</v>
      </c>
      <c r="C223" s="895" t="str">
        <f t="shared" si="55"/>
        <v>PVC</v>
      </c>
      <c r="D223" s="961">
        <f t="shared" si="49"/>
        <v>126.4339274</v>
      </c>
      <c r="E223" s="962">
        <f t="shared" si="50"/>
        <v>12.48289201</v>
      </c>
      <c r="F223" s="961">
        <f t="shared" si="51"/>
        <v>146.17026346714002</v>
      </c>
      <c r="G223" s="961">
        <f t="shared" si="52"/>
        <v>172.64552786470003</v>
      </c>
      <c r="H223" s="962">
        <f t="shared" si="53"/>
        <v>14.431471452761002</v>
      </c>
      <c r="I223" s="962">
        <f t="shared" si="54"/>
        <v>17.045389039655003</v>
      </c>
    </row>
    <row r="224" spans="1:9">
      <c r="A224" s="895" t="s">
        <v>2248</v>
      </c>
      <c r="B224" s="895">
        <f t="shared" si="55"/>
        <v>2014</v>
      </c>
      <c r="C224" s="895" t="str">
        <f t="shared" si="55"/>
        <v>RUBBER</v>
      </c>
      <c r="D224" s="961">
        <f t="shared" si="49"/>
        <v>261.37115139999997</v>
      </c>
      <c r="E224" s="962">
        <f t="shared" si="50"/>
        <v>28.080355740000002</v>
      </c>
      <c r="F224" s="961">
        <f t="shared" si="51"/>
        <v>302.17118813354</v>
      </c>
      <c r="G224" s="961">
        <f t="shared" si="52"/>
        <v>356.90230723669998</v>
      </c>
      <c r="H224" s="962">
        <f t="shared" si="53"/>
        <v>32.463699271014008</v>
      </c>
      <c r="I224" s="962">
        <f t="shared" si="54"/>
        <v>38.34372576297001</v>
      </c>
    </row>
    <row r="225" spans="1:9">
      <c r="A225" s="895" t="s">
        <v>2248</v>
      </c>
      <c r="B225" s="895">
        <f t="shared" si="55"/>
        <v>2015</v>
      </c>
      <c r="C225" s="895" t="str">
        <f t="shared" si="55"/>
        <v>Acryl</v>
      </c>
      <c r="D225" s="961">
        <f t="shared" si="49"/>
        <v>131.8081186</v>
      </c>
      <c r="E225" s="962">
        <f t="shared" si="50"/>
        <v>15.481102010000001</v>
      </c>
      <c r="F225" s="961">
        <f t="shared" si="51"/>
        <v>152.38336591346001</v>
      </c>
      <c r="G225" s="961">
        <f t="shared" si="52"/>
        <v>179.98398594830002</v>
      </c>
      <c r="H225" s="962">
        <f t="shared" si="53"/>
        <v>17.897702033761004</v>
      </c>
      <c r="I225" s="962">
        <f t="shared" si="54"/>
        <v>21.139444794655002</v>
      </c>
    </row>
    <row r="226" spans="1:9">
      <c r="A226" s="895" t="s">
        <v>2248</v>
      </c>
      <c r="B226" s="895">
        <f t="shared" si="55"/>
        <v>2015</v>
      </c>
      <c r="C226" s="895" t="str">
        <f t="shared" si="55"/>
        <v>OTHER</v>
      </c>
      <c r="D226" s="961">
        <f t="shared" si="49"/>
        <v>243.84429309999999</v>
      </c>
      <c r="E226" s="962">
        <f t="shared" si="50"/>
        <v>28.91984428</v>
      </c>
      <c r="F226" s="961">
        <f t="shared" si="51"/>
        <v>281.90838725291002</v>
      </c>
      <c r="G226" s="961">
        <f t="shared" si="52"/>
        <v>332.96938222804999</v>
      </c>
      <c r="H226" s="962">
        <f t="shared" si="53"/>
        <v>33.434231972108002</v>
      </c>
      <c r="I226" s="962">
        <f t="shared" si="54"/>
        <v>39.490047364340001</v>
      </c>
    </row>
    <row r="227" spans="1:9">
      <c r="A227" s="895" t="s">
        <v>2248</v>
      </c>
      <c r="B227" s="895">
        <f t="shared" si="55"/>
        <v>2015</v>
      </c>
      <c r="C227" s="895" t="str">
        <f t="shared" si="55"/>
        <v>PA</v>
      </c>
      <c r="D227" s="961">
        <f t="shared" si="49"/>
        <v>277.75861909999998</v>
      </c>
      <c r="E227" s="962">
        <f t="shared" si="50"/>
        <v>34.434036740000003</v>
      </c>
      <c r="F227" s="961">
        <f t="shared" si="51"/>
        <v>321.11673954151001</v>
      </c>
      <c r="G227" s="961">
        <f t="shared" si="52"/>
        <v>379.27939438105</v>
      </c>
      <c r="H227" s="962">
        <f t="shared" si="53"/>
        <v>39.809189875114008</v>
      </c>
      <c r="I227" s="962">
        <f t="shared" si="54"/>
        <v>47.019677168470011</v>
      </c>
    </row>
    <row r="228" spans="1:9">
      <c r="A228" s="895" t="s">
        <v>2248</v>
      </c>
      <c r="B228" s="895">
        <f t="shared" si="55"/>
        <v>2015</v>
      </c>
      <c r="C228" s="895" t="str">
        <f t="shared" si="55"/>
        <v>PET</v>
      </c>
      <c r="D228" s="961">
        <f t="shared" si="49"/>
        <v>1494.6702990000001</v>
      </c>
      <c r="E228" s="962">
        <f t="shared" si="50"/>
        <v>198.16315019999999</v>
      </c>
      <c r="F228" s="961">
        <f t="shared" si="51"/>
        <v>1727.9883326739002</v>
      </c>
      <c r="G228" s="961">
        <f t="shared" si="52"/>
        <v>2040.9722932845004</v>
      </c>
      <c r="H228" s="962">
        <f t="shared" si="53"/>
        <v>229.09641794622001</v>
      </c>
      <c r="I228" s="962">
        <f t="shared" si="54"/>
        <v>270.5917815981</v>
      </c>
    </row>
    <row r="229" spans="1:9">
      <c r="A229" s="895" t="s">
        <v>2248</v>
      </c>
      <c r="B229" s="895">
        <f t="shared" si="55"/>
        <v>2015</v>
      </c>
      <c r="C229" s="895" t="str">
        <f t="shared" si="55"/>
        <v>PUR</v>
      </c>
      <c r="D229" s="961">
        <f t="shared" ref="D229:D260" si="56">E141</f>
        <v>186.7543919</v>
      </c>
      <c r="E229" s="962">
        <f t="shared" ref="E229:E260" si="57">F52</f>
        <v>18.440981300000001</v>
      </c>
      <c r="F229" s="961">
        <f t="shared" ref="F229:F260" si="58">D229*$B$7</f>
        <v>215.90675247559003</v>
      </c>
      <c r="G229" s="961">
        <f t="shared" ref="G229:G260" si="59">D229*$B$6</f>
        <v>255.01312213945002</v>
      </c>
      <c r="H229" s="962">
        <f t="shared" ref="H229:H260" si="60">E229*$B$7</f>
        <v>21.319618480930004</v>
      </c>
      <c r="I229" s="962">
        <f t="shared" ref="I229:I260" si="61">E229*$B$6</f>
        <v>25.181159965150005</v>
      </c>
    </row>
    <row r="230" spans="1:9">
      <c r="A230" s="895" t="s">
        <v>2248</v>
      </c>
      <c r="B230" s="895">
        <f t="shared" si="55"/>
        <v>2015</v>
      </c>
      <c r="C230" s="895" t="str">
        <f t="shared" si="55"/>
        <v>PVC</v>
      </c>
      <c r="D230" s="961">
        <f t="shared" si="56"/>
        <v>119.7308529</v>
      </c>
      <c r="E230" s="962">
        <f t="shared" si="57"/>
        <v>11.950123169999999</v>
      </c>
      <c r="F230" s="961">
        <f t="shared" si="58"/>
        <v>138.42083903769003</v>
      </c>
      <c r="G230" s="961">
        <f t="shared" si="59"/>
        <v>163.49247963495003</v>
      </c>
      <c r="H230" s="962">
        <f t="shared" si="60"/>
        <v>13.815537396837001</v>
      </c>
      <c r="I230" s="962">
        <f t="shared" si="61"/>
        <v>16.317893188635001</v>
      </c>
    </row>
    <row r="231" spans="1:9">
      <c r="A231" s="895" t="s">
        <v>2248</v>
      </c>
      <c r="B231" s="895">
        <f t="shared" si="55"/>
        <v>2015</v>
      </c>
      <c r="C231" s="895" t="str">
        <f t="shared" si="55"/>
        <v>RUBBER</v>
      </c>
      <c r="D231" s="961">
        <f t="shared" si="56"/>
        <v>241.73989510000001</v>
      </c>
      <c r="E231" s="962">
        <f t="shared" si="57"/>
        <v>26.29816748</v>
      </c>
      <c r="F231" s="961">
        <f t="shared" si="58"/>
        <v>279.47549272511003</v>
      </c>
      <c r="G231" s="961">
        <f t="shared" si="59"/>
        <v>330.09582675905006</v>
      </c>
      <c r="H231" s="962">
        <f t="shared" si="60"/>
        <v>30.403311423628004</v>
      </c>
      <c r="I231" s="962">
        <f t="shared" si="61"/>
        <v>35.910147693940004</v>
      </c>
    </row>
    <row r="232" spans="1:9">
      <c r="A232" s="895" t="s">
        <v>2248</v>
      </c>
      <c r="B232" s="895">
        <f t="shared" si="55"/>
        <v>2016</v>
      </c>
      <c r="C232" s="895" t="str">
        <f t="shared" si="55"/>
        <v>Acryl</v>
      </c>
      <c r="D232" s="961">
        <f t="shared" si="56"/>
        <v>137.5872952</v>
      </c>
      <c r="E232" s="962">
        <f t="shared" si="57"/>
        <v>16.501961649999998</v>
      </c>
      <c r="F232" s="961">
        <f t="shared" si="58"/>
        <v>159.06467198072002</v>
      </c>
      <c r="G232" s="961">
        <f t="shared" si="59"/>
        <v>187.87545159560003</v>
      </c>
      <c r="H232" s="962">
        <f t="shared" si="60"/>
        <v>19.077917863565002</v>
      </c>
      <c r="I232" s="962">
        <f t="shared" si="61"/>
        <v>22.533428633075001</v>
      </c>
    </row>
    <row r="233" spans="1:9">
      <c r="A233" s="895" t="s">
        <v>2248</v>
      </c>
      <c r="B233" s="895">
        <f t="shared" si="55"/>
        <v>2016</v>
      </c>
      <c r="C233" s="895" t="str">
        <f t="shared" si="55"/>
        <v>OTHER</v>
      </c>
      <c r="D233" s="961">
        <f t="shared" si="56"/>
        <v>246.2700877</v>
      </c>
      <c r="E233" s="962">
        <f t="shared" si="57"/>
        <v>32.143780939999999</v>
      </c>
      <c r="F233" s="961">
        <f t="shared" si="58"/>
        <v>284.71284838997002</v>
      </c>
      <c r="G233" s="961">
        <f t="shared" si="59"/>
        <v>336.28180475435005</v>
      </c>
      <c r="H233" s="962">
        <f t="shared" si="60"/>
        <v>37.161425144734004</v>
      </c>
      <c r="I233" s="962">
        <f t="shared" si="61"/>
        <v>43.892332873570005</v>
      </c>
    </row>
    <row r="234" spans="1:9">
      <c r="A234" s="895" t="s">
        <v>2248</v>
      </c>
      <c r="B234" s="895">
        <f t="shared" si="55"/>
        <v>2016</v>
      </c>
      <c r="C234" s="895" t="str">
        <f t="shared" si="55"/>
        <v>PA</v>
      </c>
      <c r="D234" s="961">
        <f t="shared" si="56"/>
        <v>289.55312179999999</v>
      </c>
      <c r="E234" s="962">
        <f t="shared" si="57"/>
        <v>39.27596527</v>
      </c>
      <c r="F234" s="961">
        <f t="shared" si="58"/>
        <v>334.75236411298005</v>
      </c>
      <c r="G234" s="961">
        <f t="shared" si="59"/>
        <v>395.38478781790002</v>
      </c>
      <c r="H234" s="962">
        <f t="shared" si="60"/>
        <v>45.406943448647006</v>
      </c>
      <c r="I234" s="962">
        <f t="shared" si="61"/>
        <v>53.631330576185007</v>
      </c>
    </row>
    <row r="235" spans="1:9">
      <c r="A235" s="895" t="s">
        <v>2248</v>
      </c>
      <c r="B235" s="895">
        <f t="shared" si="55"/>
        <v>2016</v>
      </c>
      <c r="C235" s="895" t="str">
        <f t="shared" si="55"/>
        <v>PET</v>
      </c>
      <c r="D235" s="961">
        <f t="shared" si="56"/>
        <v>1549.222867</v>
      </c>
      <c r="E235" s="962">
        <f t="shared" si="57"/>
        <v>221.56452039999999</v>
      </c>
      <c r="F235" s="961">
        <f t="shared" si="58"/>
        <v>1791.0565565387001</v>
      </c>
      <c r="G235" s="961">
        <f t="shared" si="59"/>
        <v>2115.4638248885003</v>
      </c>
      <c r="H235" s="962">
        <f t="shared" si="60"/>
        <v>256.15074203444004</v>
      </c>
      <c r="I235" s="962">
        <f t="shared" si="61"/>
        <v>302.5463526062</v>
      </c>
    </row>
    <row r="236" spans="1:9">
      <c r="A236" s="895" t="s">
        <v>2248</v>
      </c>
      <c r="B236" s="895">
        <f t="shared" si="55"/>
        <v>2016</v>
      </c>
      <c r="C236" s="895" t="str">
        <f t="shared" si="55"/>
        <v>PUR</v>
      </c>
      <c r="D236" s="961">
        <f t="shared" si="56"/>
        <v>184.22361179999999</v>
      </c>
      <c r="E236" s="962">
        <f t="shared" si="57"/>
        <v>20.21475659</v>
      </c>
      <c r="F236" s="961">
        <f t="shared" si="58"/>
        <v>212.98091760198</v>
      </c>
      <c r="G236" s="961">
        <f t="shared" si="59"/>
        <v>251.5573419129</v>
      </c>
      <c r="H236" s="962">
        <f t="shared" si="60"/>
        <v>23.370280093699002</v>
      </c>
      <c r="I236" s="962">
        <f t="shared" si="61"/>
        <v>27.603250123645005</v>
      </c>
    </row>
    <row r="237" spans="1:9">
      <c r="A237" s="895" t="s">
        <v>2248</v>
      </c>
      <c r="B237" s="895">
        <f t="shared" ref="B237:C256" si="62">B149</f>
        <v>2016</v>
      </c>
      <c r="C237" s="895" t="str">
        <f t="shared" si="62"/>
        <v>PVC</v>
      </c>
      <c r="D237" s="961">
        <f t="shared" si="56"/>
        <v>118.13123659999999</v>
      </c>
      <c r="E237" s="962">
        <f t="shared" si="57"/>
        <v>13.063414059999999</v>
      </c>
      <c r="F237" s="961">
        <f t="shared" si="58"/>
        <v>136.57152263326</v>
      </c>
      <c r="G237" s="961">
        <f t="shared" si="59"/>
        <v>161.30820357730002</v>
      </c>
      <c r="H237" s="962">
        <f t="shared" si="60"/>
        <v>15.102612994766002</v>
      </c>
      <c r="I237" s="962">
        <f t="shared" si="61"/>
        <v>17.838091898930003</v>
      </c>
    </row>
    <row r="238" spans="1:9">
      <c r="A238" s="895" t="s">
        <v>2248</v>
      </c>
      <c r="B238" s="895">
        <f t="shared" si="62"/>
        <v>2016</v>
      </c>
      <c r="C238" s="895" t="str">
        <f t="shared" si="62"/>
        <v>RUBBER</v>
      </c>
      <c r="D238" s="961">
        <f t="shared" si="56"/>
        <v>239.04981459999999</v>
      </c>
      <c r="E238" s="962">
        <f t="shared" si="57"/>
        <v>28.164366950000002</v>
      </c>
      <c r="F238" s="961">
        <f t="shared" si="58"/>
        <v>276.36549065906001</v>
      </c>
      <c r="G238" s="961">
        <f t="shared" si="59"/>
        <v>326.42252183630001</v>
      </c>
      <c r="H238" s="962">
        <f t="shared" si="60"/>
        <v>32.560824630895006</v>
      </c>
      <c r="I238" s="962">
        <f t="shared" si="61"/>
        <v>38.458443070225009</v>
      </c>
    </row>
    <row r="239" spans="1:9">
      <c r="A239" s="895" t="s">
        <v>2248</v>
      </c>
      <c r="B239" s="895">
        <f t="shared" si="62"/>
        <v>2017</v>
      </c>
      <c r="C239" s="895" t="str">
        <f t="shared" si="62"/>
        <v>Acryl</v>
      </c>
      <c r="D239" s="961">
        <f t="shared" si="56"/>
        <v>146.54516190000001</v>
      </c>
      <c r="E239" s="962">
        <f t="shared" si="57"/>
        <v>17.034923070000001</v>
      </c>
      <c r="F239" s="961">
        <f t="shared" si="58"/>
        <v>169.42086167259004</v>
      </c>
      <c r="G239" s="961">
        <f t="shared" si="59"/>
        <v>200.10741857445004</v>
      </c>
      <c r="H239" s="962">
        <f t="shared" si="60"/>
        <v>19.694074561227005</v>
      </c>
      <c r="I239" s="962">
        <f t="shared" si="61"/>
        <v>23.261187452085004</v>
      </c>
    </row>
    <row r="240" spans="1:9">
      <c r="A240" s="895" t="s">
        <v>2248</v>
      </c>
      <c r="B240" s="895">
        <f t="shared" si="62"/>
        <v>2017</v>
      </c>
      <c r="C240" s="895" t="str">
        <f t="shared" si="62"/>
        <v>OTHER</v>
      </c>
      <c r="D240" s="961">
        <f t="shared" si="56"/>
        <v>260.23631660000001</v>
      </c>
      <c r="E240" s="962">
        <f t="shared" si="57"/>
        <v>32.198553560000001</v>
      </c>
      <c r="F240" s="961">
        <f t="shared" si="58"/>
        <v>300.85920562126006</v>
      </c>
      <c r="G240" s="961">
        <f t="shared" si="59"/>
        <v>355.35269031730007</v>
      </c>
      <c r="H240" s="962">
        <f t="shared" si="60"/>
        <v>37.224747770716007</v>
      </c>
      <c r="I240" s="962">
        <f t="shared" si="61"/>
        <v>43.967124886180002</v>
      </c>
    </row>
    <row r="241" spans="1:9">
      <c r="A241" s="895" t="s">
        <v>2248</v>
      </c>
      <c r="B241" s="895">
        <f t="shared" si="62"/>
        <v>2017</v>
      </c>
      <c r="C241" s="895" t="str">
        <f t="shared" si="62"/>
        <v>PA</v>
      </c>
      <c r="D241" s="961">
        <f t="shared" si="56"/>
        <v>306.63556069999998</v>
      </c>
      <c r="E241" s="962">
        <f t="shared" si="57"/>
        <v>39.039347990000003</v>
      </c>
      <c r="F241" s="961">
        <f t="shared" si="58"/>
        <v>354.50137172527002</v>
      </c>
      <c r="G241" s="961">
        <f t="shared" si="59"/>
        <v>418.71085813585</v>
      </c>
      <c r="H241" s="962">
        <f t="shared" si="60"/>
        <v>45.133390211239011</v>
      </c>
      <c r="I241" s="962">
        <f t="shared" si="61"/>
        <v>53.308229680345008</v>
      </c>
    </row>
    <row r="242" spans="1:9">
      <c r="A242" s="895" t="s">
        <v>2248</v>
      </c>
      <c r="B242" s="895">
        <f t="shared" si="62"/>
        <v>2017</v>
      </c>
      <c r="C242" s="895" t="str">
        <f t="shared" si="62"/>
        <v>PET</v>
      </c>
      <c r="D242" s="961">
        <f t="shared" si="56"/>
        <v>1622.2447179999999</v>
      </c>
      <c r="E242" s="962">
        <f t="shared" si="57"/>
        <v>211.95836850000001</v>
      </c>
      <c r="F242" s="961">
        <f t="shared" si="58"/>
        <v>1875.4771184798001</v>
      </c>
      <c r="G242" s="961">
        <f t="shared" si="59"/>
        <v>2215.175162429</v>
      </c>
      <c r="H242" s="962">
        <f t="shared" si="60"/>
        <v>245.04506982285002</v>
      </c>
      <c r="I242" s="962">
        <f t="shared" si="61"/>
        <v>289.42915218675006</v>
      </c>
    </row>
    <row r="243" spans="1:9">
      <c r="A243" s="895" t="s">
        <v>2248</v>
      </c>
      <c r="B243" s="895">
        <f t="shared" si="62"/>
        <v>2017</v>
      </c>
      <c r="C243" s="895" t="str">
        <f t="shared" si="62"/>
        <v>PUR</v>
      </c>
      <c r="D243" s="961">
        <f t="shared" si="56"/>
        <v>192.92456290000001</v>
      </c>
      <c r="E243" s="962">
        <f t="shared" si="57"/>
        <v>20.151662380000001</v>
      </c>
      <c r="F243" s="961">
        <f t="shared" si="58"/>
        <v>223.04008716869004</v>
      </c>
      <c r="G243" s="961">
        <f t="shared" si="59"/>
        <v>263.43849063995003</v>
      </c>
      <c r="H243" s="962">
        <f t="shared" si="60"/>
        <v>23.297336877518003</v>
      </c>
      <c r="I243" s="962">
        <f t="shared" si="61"/>
        <v>27.517094979890004</v>
      </c>
    </row>
    <row r="244" spans="1:9">
      <c r="A244" s="895" t="s">
        <v>2248</v>
      </c>
      <c r="B244" s="895">
        <f t="shared" si="62"/>
        <v>2017</v>
      </c>
      <c r="C244" s="895" t="str">
        <f t="shared" si="62"/>
        <v>PVC</v>
      </c>
      <c r="D244" s="961">
        <f t="shared" si="56"/>
        <v>123.8197894</v>
      </c>
      <c r="E244" s="962">
        <f t="shared" si="57"/>
        <v>13.02140958</v>
      </c>
      <c r="F244" s="961">
        <f t="shared" si="58"/>
        <v>143.14805852534002</v>
      </c>
      <c r="G244" s="961">
        <f t="shared" si="59"/>
        <v>169.07592242570001</v>
      </c>
      <c r="H244" s="962">
        <f t="shared" si="60"/>
        <v>15.054051615438002</v>
      </c>
      <c r="I244" s="962">
        <f t="shared" si="61"/>
        <v>17.780734781490004</v>
      </c>
    </row>
    <row r="245" spans="1:9">
      <c r="A245" s="895" t="s">
        <v>2248</v>
      </c>
      <c r="B245" s="895">
        <f t="shared" si="62"/>
        <v>2017</v>
      </c>
      <c r="C245" s="895" t="str">
        <f t="shared" si="62"/>
        <v>RUBBER</v>
      </c>
      <c r="D245" s="961">
        <f t="shared" si="56"/>
        <v>251.82953259999999</v>
      </c>
      <c r="E245" s="962">
        <f t="shared" si="57"/>
        <v>27.853160039999999</v>
      </c>
      <c r="F245" s="961">
        <f t="shared" si="58"/>
        <v>291.14012263886002</v>
      </c>
      <c r="G245" s="961">
        <f t="shared" si="59"/>
        <v>343.87322676530005</v>
      </c>
      <c r="H245" s="962">
        <f t="shared" si="60"/>
        <v>32.201038322244003</v>
      </c>
      <c r="I245" s="962">
        <f t="shared" si="61"/>
        <v>38.033490034620002</v>
      </c>
    </row>
    <row r="246" spans="1:9">
      <c r="A246" s="895" t="s">
        <v>2248</v>
      </c>
      <c r="B246" s="895">
        <f t="shared" si="62"/>
        <v>2018</v>
      </c>
      <c r="C246" s="895" t="str">
        <f t="shared" si="62"/>
        <v>Acryl</v>
      </c>
      <c r="D246" s="961">
        <f t="shared" si="56"/>
        <v>161.0247147</v>
      </c>
      <c r="E246" s="962">
        <f t="shared" si="57"/>
        <v>18.794389389999999</v>
      </c>
      <c r="F246" s="961">
        <f t="shared" si="58"/>
        <v>186.16067266467002</v>
      </c>
      <c r="G246" s="961">
        <f t="shared" si="59"/>
        <v>219.87924792285003</v>
      </c>
      <c r="H246" s="962">
        <f t="shared" si="60"/>
        <v>21.728193573779002</v>
      </c>
      <c r="I246" s="962">
        <f t="shared" si="61"/>
        <v>25.663738712045003</v>
      </c>
    </row>
    <row r="247" spans="1:9">
      <c r="A247" s="895" t="s">
        <v>2248</v>
      </c>
      <c r="B247" s="895">
        <f t="shared" si="62"/>
        <v>2018</v>
      </c>
      <c r="C247" s="895" t="str">
        <f t="shared" si="62"/>
        <v>OTHER</v>
      </c>
      <c r="D247" s="961">
        <f t="shared" si="56"/>
        <v>293.47975259999998</v>
      </c>
      <c r="E247" s="962">
        <f t="shared" si="57"/>
        <v>34.900696930000002</v>
      </c>
      <c r="F247" s="961">
        <f t="shared" si="58"/>
        <v>339.29194198086003</v>
      </c>
      <c r="G247" s="961">
        <f t="shared" si="59"/>
        <v>400.74660217530004</v>
      </c>
      <c r="H247" s="962">
        <f t="shared" si="60"/>
        <v>40.348695720773009</v>
      </c>
      <c r="I247" s="962">
        <f t="shared" si="61"/>
        <v>47.656901657915007</v>
      </c>
    </row>
    <row r="248" spans="1:9">
      <c r="A248" s="895" t="s">
        <v>2248</v>
      </c>
      <c r="B248" s="895">
        <f t="shared" si="62"/>
        <v>2018</v>
      </c>
      <c r="C248" s="895" t="str">
        <f t="shared" si="62"/>
        <v>PA</v>
      </c>
      <c r="D248" s="961">
        <f t="shared" si="56"/>
        <v>342.97569970000001</v>
      </c>
      <c r="E248" s="962">
        <f t="shared" si="57"/>
        <v>43.979649270000003</v>
      </c>
      <c r="F248" s="961">
        <f t="shared" si="58"/>
        <v>396.51420642317004</v>
      </c>
      <c r="G248" s="961">
        <f t="shared" si="59"/>
        <v>468.33331794035007</v>
      </c>
      <c r="H248" s="962">
        <f t="shared" si="60"/>
        <v>50.844872521047009</v>
      </c>
      <c r="I248" s="962">
        <f t="shared" si="61"/>
        <v>60.054211078185013</v>
      </c>
    </row>
    <row r="249" spans="1:9">
      <c r="A249" s="895" t="s">
        <v>2248</v>
      </c>
      <c r="B249" s="895">
        <f t="shared" si="62"/>
        <v>2018</v>
      </c>
      <c r="C249" s="895" t="str">
        <f t="shared" si="62"/>
        <v>PET</v>
      </c>
      <c r="D249" s="961">
        <f t="shared" si="56"/>
        <v>1783.0252840000001</v>
      </c>
      <c r="E249" s="962">
        <f t="shared" si="57"/>
        <v>235.69731569999999</v>
      </c>
      <c r="F249" s="961">
        <f t="shared" si="58"/>
        <v>2061.3555308324003</v>
      </c>
      <c r="G249" s="961">
        <f t="shared" si="59"/>
        <v>2434.7210253020003</v>
      </c>
      <c r="H249" s="962">
        <f t="shared" si="60"/>
        <v>272.48966668077003</v>
      </c>
      <c r="I249" s="962">
        <f t="shared" si="61"/>
        <v>321.84468458835005</v>
      </c>
    </row>
    <row r="250" spans="1:9">
      <c r="A250" s="895" t="s">
        <v>2248</v>
      </c>
      <c r="B250" s="895">
        <f t="shared" si="62"/>
        <v>2018</v>
      </c>
      <c r="C250" s="895" t="str">
        <f t="shared" si="62"/>
        <v>PUR</v>
      </c>
      <c r="D250" s="961">
        <f t="shared" si="56"/>
        <v>203.49220629999999</v>
      </c>
      <c r="E250" s="962">
        <f t="shared" si="57"/>
        <v>21.463345409999999</v>
      </c>
      <c r="F250" s="961">
        <f t="shared" si="58"/>
        <v>235.25733970343001</v>
      </c>
      <c r="G250" s="961">
        <f t="shared" si="59"/>
        <v>277.86860770265002</v>
      </c>
      <c r="H250" s="962">
        <f t="shared" si="60"/>
        <v>24.813773628501</v>
      </c>
      <c r="I250" s="962">
        <f t="shared" si="61"/>
        <v>29.308198157355001</v>
      </c>
    </row>
    <row r="251" spans="1:9">
      <c r="A251" s="895" t="s">
        <v>2248</v>
      </c>
      <c r="B251" s="895">
        <f t="shared" si="62"/>
        <v>2018</v>
      </c>
      <c r="C251" s="895" t="str">
        <f t="shared" si="62"/>
        <v>PVC</v>
      </c>
      <c r="D251" s="961">
        <f t="shared" si="56"/>
        <v>131.25836409999999</v>
      </c>
      <c r="E251" s="962">
        <f t="shared" si="57"/>
        <v>13.861956660000001</v>
      </c>
      <c r="F251" s="961">
        <f t="shared" si="58"/>
        <v>151.74779473601001</v>
      </c>
      <c r="G251" s="961">
        <f t="shared" si="59"/>
        <v>179.23329617855001</v>
      </c>
      <c r="H251" s="962">
        <f t="shared" si="60"/>
        <v>16.025808094626001</v>
      </c>
      <c r="I251" s="962">
        <f t="shared" si="61"/>
        <v>18.928501819230004</v>
      </c>
    </row>
    <row r="252" spans="1:9">
      <c r="A252" s="895" t="s">
        <v>2248</v>
      </c>
      <c r="B252" s="895">
        <f t="shared" si="62"/>
        <v>2018</v>
      </c>
      <c r="C252" s="895" t="str">
        <f t="shared" si="62"/>
        <v>RUBBER</v>
      </c>
      <c r="D252" s="961">
        <f t="shared" si="56"/>
        <v>274.23873450000002</v>
      </c>
      <c r="E252" s="962">
        <f t="shared" si="57"/>
        <v>29.43337764</v>
      </c>
      <c r="F252" s="961">
        <f t="shared" si="58"/>
        <v>317.04740095545009</v>
      </c>
      <c r="G252" s="961">
        <f t="shared" si="59"/>
        <v>374.47299195975006</v>
      </c>
      <c r="H252" s="962">
        <f t="shared" si="60"/>
        <v>34.027927889604001</v>
      </c>
      <c r="I252" s="962">
        <f t="shared" si="61"/>
        <v>40.191277167420004</v>
      </c>
    </row>
    <row r="253" spans="1:9">
      <c r="A253" s="895" t="s">
        <v>2248</v>
      </c>
      <c r="B253" s="895">
        <f t="shared" si="62"/>
        <v>2019</v>
      </c>
      <c r="C253" s="895" t="str">
        <f t="shared" si="62"/>
        <v>Acryl</v>
      </c>
      <c r="D253" s="961">
        <f t="shared" si="56"/>
        <v>155.87614210000001</v>
      </c>
      <c r="E253" s="962">
        <f t="shared" si="57"/>
        <v>17.54854632</v>
      </c>
      <c r="F253" s="961">
        <f t="shared" si="58"/>
        <v>180.20840788181002</v>
      </c>
      <c r="G253" s="961">
        <f t="shared" si="59"/>
        <v>212.84887203755005</v>
      </c>
      <c r="H253" s="962">
        <f t="shared" si="60"/>
        <v>20.287874400552003</v>
      </c>
      <c r="I253" s="962">
        <f t="shared" si="61"/>
        <v>23.962539999960004</v>
      </c>
    </row>
    <row r="254" spans="1:9">
      <c r="A254" s="895" t="s">
        <v>2248</v>
      </c>
      <c r="B254" s="895">
        <f t="shared" si="62"/>
        <v>2019</v>
      </c>
      <c r="C254" s="895" t="str">
        <f t="shared" si="62"/>
        <v>OTHER</v>
      </c>
      <c r="D254" s="961">
        <f t="shared" si="56"/>
        <v>288.93796630000003</v>
      </c>
      <c r="E254" s="962">
        <f t="shared" si="57"/>
        <v>33.598762309999998</v>
      </c>
      <c r="F254" s="961">
        <f t="shared" si="58"/>
        <v>334.04118283943006</v>
      </c>
      <c r="G254" s="961">
        <f t="shared" si="59"/>
        <v>394.54479298265011</v>
      </c>
      <c r="H254" s="962">
        <f t="shared" si="60"/>
        <v>38.843529106590999</v>
      </c>
      <c r="I254" s="962">
        <f t="shared" si="61"/>
        <v>45.879109934304999</v>
      </c>
    </row>
    <row r="255" spans="1:9">
      <c r="A255" s="895" t="s">
        <v>2248</v>
      </c>
      <c r="B255" s="895">
        <f t="shared" si="62"/>
        <v>2019</v>
      </c>
      <c r="C255" s="895" t="str">
        <f t="shared" si="62"/>
        <v>PA</v>
      </c>
      <c r="D255" s="961">
        <f t="shared" si="56"/>
        <v>335.67807049999999</v>
      </c>
      <c r="E255" s="962">
        <f t="shared" si="57"/>
        <v>42.516774699999999</v>
      </c>
      <c r="F255" s="961">
        <f t="shared" si="58"/>
        <v>388.07741730505001</v>
      </c>
      <c r="G255" s="961">
        <f t="shared" si="59"/>
        <v>458.36840526775006</v>
      </c>
      <c r="H255" s="962">
        <f t="shared" si="60"/>
        <v>49.153643230670006</v>
      </c>
      <c r="I255" s="962">
        <f t="shared" si="61"/>
        <v>58.056655852850007</v>
      </c>
    </row>
    <row r="256" spans="1:9">
      <c r="A256" s="895" t="s">
        <v>2248</v>
      </c>
      <c r="B256" s="895">
        <f t="shared" si="62"/>
        <v>2019</v>
      </c>
      <c r="C256" s="895" t="str">
        <f t="shared" si="62"/>
        <v>PET</v>
      </c>
      <c r="D256" s="961">
        <f t="shared" si="56"/>
        <v>1748.7172250000001</v>
      </c>
      <c r="E256" s="962">
        <f t="shared" si="57"/>
        <v>226.81486559999999</v>
      </c>
      <c r="F256" s="961">
        <f t="shared" si="58"/>
        <v>2021.6919838225003</v>
      </c>
      <c r="G256" s="961">
        <f t="shared" si="59"/>
        <v>2387.8733707375004</v>
      </c>
      <c r="H256" s="962">
        <f t="shared" si="60"/>
        <v>262.22066612015999</v>
      </c>
      <c r="I256" s="962">
        <f t="shared" si="61"/>
        <v>309.71569897680001</v>
      </c>
    </row>
    <row r="257" spans="1:9">
      <c r="A257" s="895" t="s">
        <v>2248</v>
      </c>
      <c r="B257" s="895">
        <f t="shared" ref="B257:C276" si="63">B169</f>
        <v>2019</v>
      </c>
      <c r="C257" s="895" t="str">
        <f t="shared" si="63"/>
        <v>PUR</v>
      </c>
      <c r="D257" s="961">
        <f t="shared" si="56"/>
        <v>201.41097139999999</v>
      </c>
      <c r="E257" s="962">
        <f t="shared" si="57"/>
        <v>21.224926079999999</v>
      </c>
      <c r="F257" s="961">
        <f t="shared" si="58"/>
        <v>232.85122403554001</v>
      </c>
      <c r="G257" s="961">
        <f t="shared" si="59"/>
        <v>275.02668144670002</v>
      </c>
      <c r="H257" s="962">
        <f t="shared" si="60"/>
        <v>24.538137041088003</v>
      </c>
      <c r="I257" s="962">
        <f t="shared" si="61"/>
        <v>28.982636562240003</v>
      </c>
    </row>
    <row r="258" spans="1:9">
      <c r="A258" s="895" t="s">
        <v>2248</v>
      </c>
      <c r="B258" s="895">
        <f t="shared" si="63"/>
        <v>2019</v>
      </c>
      <c r="C258" s="895" t="str">
        <f t="shared" si="63"/>
        <v>PVC</v>
      </c>
      <c r="D258" s="961">
        <f t="shared" si="56"/>
        <v>129.74280759999999</v>
      </c>
      <c r="E258" s="962">
        <f t="shared" si="57"/>
        <v>13.66375494</v>
      </c>
      <c r="F258" s="961">
        <f t="shared" si="58"/>
        <v>149.99565986636</v>
      </c>
      <c r="G258" s="961">
        <f t="shared" si="59"/>
        <v>177.16380377780001</v>
      </c>
      <c r="H258" s="962">
        <f t="shared" si="60"/>
        <v>15.796667086134002</v>
      </c>
      <c r="I258" s="962">
        <f t="shared" si="61"/>
        <v>18.657857370570003</v>
      </c>
    </row>
    <row r="259" spans="1:9">
      <c r="A259" s="895" t="s">
        <v>2248</v>
      </c>
      <c r="B259" s="895">
        <f t="shared" si="63"/>
        <v>2019</v>
      </c>
      <c r="C259" s="895" t="str">
        <f t="shared" si="63"/>
        <v>RUBBER</v>
      </c>
      <c r="D259" s="961">
        <f t="shared" si="56"/>
        <v>268.35933929999999</v>
      </c>
      <c r="E259" s="962">
        <f t="shared" si="57"/>
        <v>28.398745170000002</v>
      </c>
      <c r="F259" s="961">
        <f t="shared" si="58"/>
        <v>310.25023216472999</v>
      </c>
      <c r="G259" s="961">
        <f t="shared" si="59"/>
        <v>366.44467781415</v>
      </c>
      <c r="H259" s="962">
        <f t="shared" si="60"/>
        <v>32.831789291037005</v>
      </c>
      <c r="I259" s="962">
        <f t="shared" si="61"/>
        <v>38.778486529635003</v>
      </c>
    </row>
    <row r="260" spans="1:9">
      <c r="A260" s="895" t="s">
        <v>2248</v>
      </c>
      <c r="B260" s="895">
        <f t="shared" si="63"/>
        <v>2020</v>
      </c>
      <c r="C260" s="895" t="str">
        <f t="shared" si="63"/>
        <v>Acryl</v>
      </c>
      <c r="D260" s="961">
        <f t="shared" si="56"/>
        <v>129.21013379999999</v>
      </c>
      <c r="E260" s="962">
        <f t="shared" si="57"/>
        <v>12.13324772</v>
      </c>
      <c r="F260" s="961">
        <f t="shared" si="58"/>
        <v>149.37983568618</v>
      </c>
      <c r="G260" s="961">
        <f t="shared" si="59"/>
        <v>176.43643770390003</v>
      </c>
      <c r="H260" s="962">
        <f t="shared" si="60"/>
        <v>14.027247689092002</v>
      </c>
      <c r="I260" s="962">
        <f t="shared" si="61"/>
        <v>16.567949761660003</v>
      </c>
    </row>
    <row r="261" spans="1:9">
      <c r="A261" s="895" t="s">
        <v>2248</v>
      </c>
      <c r="B261" s="895">
        <f t="shared" si="63"/>
        <v>2020</v>
      </c>
      <c r="C261" s="895" t="str">
        <f t="shared" si="63"/>
        <v>OTHER</v>
      </c>
      <c r="D261" s="961">
        <f t="shared" ref="D261:D280" si="64">E173</f>
        <v>229.5904032</v>
      </c>
      <c r="E261" s="962">
        <f t="shared" ref="E261:E280" si="65">F84</f>
        <v>22.93146647</v>
      </c>
      <c r="F261" s="961">
        <f t="shared" ref="F261:F280" si="66">D261*$B$7</f>
        <v>265.42946513952</v>
      </c>
      <c r="G261" s="961">
        <f t="shared" ref="G261:G280" si="67">D261*$B$6</f>
        <v>313.50569556960005</v>
      </c>
      <c r="H261" s="962">
        <f t="shared" ref="H261:H280" si="68">E261*$B$7</f>
        <v>26.511068385967004</v>
      </c>
      <c r="I261" s="962">
        <f t="shared" ref="I261:I280" si="69">E261*$B$6</f>
        <v>31.312917464785002</v>
      </c>
    </row>
    <row r="262" spans="1:9">
      <c r="A262" s="895" t="s">
        <v>2248</v>
      </c>
      <c r="B262" s="895">
        <f t="shared" si="63"/>
        <v>2020</v>
      </c>
      <c r="C262" s="895" t="str">
        <f t="shared" si="63"/>
        <v>PA</v>
      </c>
      <c r="D262" s="961">
        <f t="shared" si="64"/>
        <v>272.27944339999999</v>
      </c>
      <c r="E262" s="962">
        <f t="shared" si="65"/>
        <v>27.473770129999998</v>
      </c>
      <c r="F262" s="961">
        <f t="shared" si="66"/>
        <v>314.78226451474001</v>
      </c>
      <c r="G262" s="961">
        <f t="shared" si="67"/>
        <v>371.79757996270001</v>
      </c>
      <c r="H262" s="962">
        <f t="shared" si="68"/>
        <v>31.762425647293</v>
      </c>
      <c r="I262" s="962">
        <f t="shared" si="69"/>
        <v>37.515433112515005</v>
      </c>
    </row>
    <row r="263" spans="1:9">
      <c r="A263" s="895" t="s">
        <v>2248</v>
      </c>
      <c r="B263" s="895">
        <f t="shared" si="63"/>
        <v>2020</v>
      </c>
      <c r="C263" s="895" t="str">
        <f t="shared" si="63"/>
        <v>PET</v>
      </c>
      <c r="D263" s="961">
        <f t="shared" si="64"/>
        <v>1396.1442360000001</v>
      </c>
      <c r="E263" s="962">
        <f t="shared" si="65"/>
        <v>146.75291419999999</v>
      </c>
      <c r="F263" s="961">
        <f t="shared" si="66"/>
        <v>1614.0823512396003</v>
      </c>
      <c r="G263" s="961">
        <f t="shared" si="67"/>
        <v>1906.4349542580003</v>
      </c>
      <c r="H263" s="962">
        <f t="shared" si="68"/>
        <v>169.66104410662001</v>
      </c>
      <c r="I263" s="962">
        <f t="shared" si="69"/>
        <v>200.39110434010001</v>
      </c>
    </row>
    <row r="264" spans="1:9">
      <c r="A264" s="895" t="s">
        <v>2248</v>
      </c>
      <c r="B264" s="895">
        <f t="shared" si="63"/>
        <v>2020</v>
      </c>
      <c r="C264" s="895" t="str">
        <f t="shared" si="63"/>
        <v>PUR</v>
      </c>
      <c r="D264" s="961">
        <f t="shared" si="64"/>
        <v>162.02162820000001</v>
      </c>
      <c r="E264" s="962">
        <f t="shared" si="65"/>
        <v>17.326536180000002</v>
      </c>
      <c r="F264" s="961">
        <f t="shared" si="66"/>
        <v>187.31320436202003</v>
      </c>
      <c r="G264" s="961">
        <f t="shared" si="67"/>
        <v>221.24053330710004</v>
      </c>
      <c r="H264" s="962">
        <f t="shared" si="68"/>
        <v>20.031208477698005</v>
      </c>
      <c r="I264" s="962">
        <f t="shared" si="69"/>
        <v>23.659385153790005</v>
      </c>
    </row>
    <row r="265" spans="1:9">
      <c r="A265" s="895" t="s">
        <v>2248</v>
      </c>
      <c r="B265" s="895">
        <f t="shared" si="63"/>
        <v>2020</v>
      </c>
      <c r="C265" s="895" t="str">
        <f t="shared" si="63"/>
        <v>PVC</v>
      </c>
      <c r="D265" s="961">
        <f t="shared" si="64"/>
        <v>104.0268602</v>
      </c>
      <c r="E265" s="962">
        <f t="shared" si="65"/>
        <v>11.06819829</v>
      </c>
      <c r="F265" s="961">
        <f t="shared" si="66"/>
        <v>120.26545307722002</v>
      </c>
      <c r="G265" s="961">
        <f t="shared" si="67"/>
        <v>142.04867760310003</v>
      </c>
      <c r="H265" s="962">
        <f t="shared" si="68"/>
        <v>12.795944043069001</v>
      </c>
      <c r="I265" s="962">
        <f t="shared" si="69"/>
        <v>15.113624764995002</v>
      </c>
    </row>
    <row r="266" spans="1:9">
      <c r="A266" s="895" t="s">
        <v>2248</v>
      </c>
      <c r="B266" s="895">
        <f t="shared" si="63"/>
        <v>2020</v>
      </c>
      <c r="C266" s="895" t="str">
        <f t="shared" si="63"/>
        <v>RUBBER</v>
      </c>
      <c r="D266" s="961">
        <f t="shared" si="64"/>
        <v>210.72664739999999</v>
      </c>
      <c r="E266" s="962">
        <f t="shared" si="65"/>
        <v>21.841717490000001</v>
      </c>
      <c r="F266" s="961">
        <f t="shared" si="66"/>
        <v>243.62107705914002</v>
      </c>
      <c r="G266" s="961">
        <f t="shared" si="67"/>
        <v>287.74723702470004</v>
      </c>
      <c r="H266" s="962">
        <f t="shared" si="68"/>
        <v>25.251209590189003</v>
      </c>
      <c r="I266" s="962">
        <f t="shared" si="69"/>
        <v>29.824865232595005</v>
      </c>
    </row>
    <row r="267" spans="1:9">
      <c r="A267" s="895" t="s">
        <v>2248</v>
      </c>
      <c r="B267" s="895">
        <f t="shared" si="63"/>
        <v>2021</v>
      </c>
      <c r="C267" s="895" t="str">
        <f t="shared" si="63"/>
        <v>Acryl</v>
      </c>
      <c r="D267" s="961">
        <f t="shared" si="64"/>
        <v>141.63028159999999</v>
      </c>
      <c r="E267" s="962">
        <f t="shared" si="65"/>
        <v>14.414300020000001</v>
      </c>
      <c r="F267" s="961">
        <f t="shared" si="66"/>
        <v>163.73876855776001</v>
      </c>
      <c r="G267" s="961">
        <f t="shared" si="67"/>
        <v>193.39614952479999</v>
      </c>
      <c r="H267" s="962">
        <f t="shared" si="68"/>
        <v>16.664372253122004</v>
      </c>
      <c r="I267" s="962">
        <f t="shared" si="69"/>
        <v>19.682726677310004</v>
      </c>
    </row>
    <row r="268" spans="1:9">
      <c r="A268" s="895" t="s">
        <v>2248</v>
      </c>
      <c r="B268" s="895">
        <f t="shared" si="63"/>
        <v>2021</v>
      </c>
      <c r="C268" s="895" t="str">
        <f t="shared" si="63"/>
        <v>OTHER</v>
      </c>
      <c r="D268" s="961">
        <f t="shared" si="64"/>
        <v>241.6899727</v>
      </c>
      <c r="E268" s="962">
        <f t="shared" si="65"/>
        <v>25.566611479999999</v>
      </c>
      <c r="F268" s="961">
        <f t="shared" si="66"/>
        <v>279.41777743847001</v>
      </c>
      <c r="G268" s="961">
        <f t="shared" si="67"/>
        <v>330.02765772185006</v>
      </c>
      <c r="H268" s="962">
        <f t="shared" si="68"/>
        <v>29.557559532028002</v>
      </c>
      <c r="I268" s="962">
        <f t="shared" si="69"/>
        <v>34.911207975940002</v>
      </c>
    </row>
    <row r="269" spans="1:9">
      <c r="A269" s="895" t="s">
        <v>2248</v>
      </c>
      <c r="B269" s="895">
        <f t="shared" si="63"/>
        <v>2021</v>
      </c>
      <c r="C269" s="895" t="str">
        <f t="shared" si="63"/>
        <v>PA</v>
      </c>
      <c r="D269" s="961">
        <f t="shared" si="64"/>
        <v>297.53292690000001</v>
      </c>
      <c r="E269" s="962">
        <f t="shared" si="65"/>
        <v>32.316900889999999</v>
      </c>
      <c r="F269" s="961">
        <f t="shared" si="66"/>
        <v>343.97781678909007</v>
      </c>
      <c r="G269" s="961">
        <f t="shared" si="67"/>
        <v>406.28121168195008</v>
      </c>
      <c r="H269" s="962">
        <f t="shared" si="68"/>
        <v>37.361569118929005</v>
      </c>
      <c r="I269" s="962">
        <f t="shared" si="69"/>
        <v>44.128728165295001</v>
      </c>
    </row>
    <row r="270" spans="1:9">
      <c r="A270" s="895" t="s">
        <v>2248</v>
      </c>
      <c r="B270" s="895">
        <f t="shared" si="63"/>
        <v>2021</v>
      </c>
      <c r="C270" s="895" t="str">
        <f t="shared" si="63"/>
        <v>PET</v>
      </c>
      <c r="D270" s="961">
        <f t="shared" si="64"/>
        <v>1495.4943780000001</v>
      </c>
      <c r="E270" s="962">
        <f t="shared" si="65"/>
        <v>168.05433719999999</v>
      </c>
      <c r="F270" s="961">
        <f t="shared" si="66"/>
        <v>1728.9410504058003</v>
      </c>
      <c r="G270" s="961">
        <f t="shared" si="67"/>
        <v>2042.0975731590004</v>
      </c>
      <c r="H270" s="962">
        <f t="shared" si="68"/>
        <v>194.28761923692002</v>
      </c>
      <c r="I270" s="962">
        <f t="shared" si="69"/>
        <v>229.47819744660001</v>
      </c>
    </row>
    <row r="271" spans="1:9">
      <c r="A271" s="895" t="s">
        <v>2248</v>
      </c>
      <c r="B271" s="895">
        <f t="shared" si="63"/>
        <v>2021</v>
      </c>
      <c r="C271" s="895" t="str">
        <f t="shared" si="63"/>
        <v>PUR</v>
      </c>
      <c r="D271" s="961">
        <f t="shared" si="64"/>
        <v>155.6368913</v>
      </c>
      <c r="E271" s="962">
        <f t="shared" si="65"/>
        <v>17.79103666</v>
      </c>
      <c r="F271" s="961">
        <f t="shared" si="66"/>
        <v>179.93181003193001</v>
      </c>
      <c r="G271" s="961">
        <f t="shared" si="67"/>
        <v>212.52217507015004</v>
      </c>
      <c r="H271" s="962">
        <f t="shared" si="68"/>
        <v>20.568217482626</v>
      </c>
      <c r="I271" s="962">
        <f t="shared" si="69"/>
        <v>24.293660559230002</v>
      </c>
    </row>
    <row r="272" spans="1:9">
      <c r="A272" s="895" t="s">
        <v>2248</v>
      </c>
      <c r="B272" s="895">
        <f t="shared" si="63"/>
        <v>2021</v>
      </c>
      <c r="C272" s="895" t="str">
        <f t="shared" si="63"/>
        <v>PVC</v>
      </c>
      <c r="D272" s="961">
        <f t="shared" si="64"/>
        <v>100.28163069999999</v>
      </c>
      <c r="E272" s="962">
        <f t="shared" si="65"/>
        <v>11.41472343</v>
      </c>
      <c r="F272" s="961">
        <f t="shared" si="66"/>
        <v>115.93559325227001</v>
      </c>
      <c r="G272" s="961">
        <f t="shared" si="67"/>
        <v>136.93456672085</v>
      </c>
      <c r="H272" s="962">
        <f t="shared" si="68"/>
        <v>13.196561757423002</v>
      </c>
      <c r="I272" s="962">
        <f t="shared" si="69"/>
        <v>15.586804843665002</v>
      </c>
    </row>
    <row r="273" spans="1:11">
      <c r="A273" s="895" t="s">
        <v>2248</v>
      </c>
      <c r="B273" s="895">
        <f t="shared" si="63"/>
        <v>2021</v>
      </c>
      <c r="C273" s="895" t="str">
        <f t="shared" si="63"/>
        <v>RUBBER</v>
      </c>
      <c r="D273" s="961">
        <f t="shared" si="64"/>
        <v>207.02088499999999</v>
      </c>
      <c r="E273" s="962">
        <f t="shared" si="65"/>
        <v>23.256855089999998</v>
      </c>
      <c r="F273" s="961">
        <f t="shared" si="66"/>
        <v>239.33684514850003</v>
      </c>
      <c r="G273" s="961">
        <f t="shared" si="67"/>
        <v>282.68701846750002</v>
      </c>
      <c r="H273" s="962">
        <f t="shared" si="68"/>
        <v>26.887250169549002</v>
      </c>
      <c r="I273" s="962">
        <f t="shared" si="69"/>
        <v>31.757235625395001</v>
      </c>
    </row>
    <row r="274" spans="1:11">
      <c r="A274" s="895" t="s">
        <v>2248</v>
      </c>
      <c r="B274" s="895">
        <f t="shared" si="63"/>
        <v>2022</v>
      </c>
      <c r="C274" s="895" t="str">
        <f t="shared" si="63"/>
        <v>Acryl</v>
      </c>
      <c r="D274" s="961">
        <f t="shared" si="64"/>
        <v>174.44249690000001</v>
      </c>
      <c r="E274" s="962">
        <f t="shared" si="65"/>
        <v>20.511336790000001</v>
      </c>
      <c r="F274" s="961">
        <f t="shared" si="66"/>
        <v>201.67297066609004</v>
      </c>
      <c r="G274" s="961">
        <f t="shared" si="67"/>
        <v>238.20122951695004</v>
      </c>
      <c r="H274" s="962">
        <f t="shared" si="68"/>
        <v>23.713156462919006</v>
      </c>
      <c r="I274" s="962">
        <f t="shared" si="69"/>
        <v>28.008230386745005</v>
      </c>
    </row>
    <row r="275" spans="1:11">
      <c r="A275" s="895" t="s">
        <v>2248</v>
      </c>
      <c r="B275" s="895">
        <f t="shared" si="63"/>
        <v>2022</v>
      </c>
      <c r="C275" s="895" t="str">
        <f t="shared" si="63"/>
        <v>OTHER</v>
      </c>
      <c r="D275" s="961">
        <f t="shared" si="64"/>
        <v>302.07964800000002</v>
      </c>
      <c r="E275" s="962">
        <f t="shared" si="65"/>
        <v>35.846355090000003</v>
      </c>
      <c r="F275" s="961">
        <f t="shared" si="66"/>
        <v>349.23428105280004</v>
      </c>
      <c r="G275" s="961">
        <f t="shared" si="67"/>
        <v>412.48975934400005</v>
      </c>
      <c r="H275" s="962">
        <f t="shared" si="68"/>
        <v>41.441971119549009</v>
      </c>
      <c r="I275" s="962">
        <f t="shared" si="69"/>
        <v>48.94819787539501</v>
      </c>
    </row>
    <row r="276" spans="1:11">
      <c r="A276" s="895" t="s">
        <v>2248</v>
      </c>
      <c r="B276" s="895">
        <f t="shared" si="63"/>
        <v>2022</v>
      </c>
      <c r="C276" s="895" t="str">
        <f t="shared" si="63"/>
        <v>PA</v>
      </c>
      <c r="D276" s="961">
        <f t="shared" si="64"/>
        <v>365.93415850000002</v>
      </c>
      <c r="E276" s="962">
        <f t="shared" si="65"/>
        <v>46.393903379999998</v>
      </c>
      <c r="F276" s="961">
        <f t="shared" si="66"/>
        <v>423.0564806418501</v>
      </c>
      <c r="G276" s="961">
        <f t="shared" si="67"/>
        <v>499.68309343175008</v>
      </c>
      <c r="H276" s="962">
        <f t="shared" si="68"/>
        <v>53.635991697618003</v>
      </c>
      <c r="I276" s="962">
        <f t="shared" si="69"/>
        <v>63.350875065390007</v>
      </c>
    </row>
    <row r="277" spans="1:11">
      <c r="A277" s="895" t="s">
        <v>2248</v>
      </c>
      <c r="B277" s="895">
        <f t="shared" ref="B277:C280" si="70">B189</f>
        <v>2022</v>
      </c>
      <c r="C277" s="895" t="str">
        <f t="shared" si="70"/>
        <v>PET</v>
      </c>
      <c r="D277" s="961">
        <f t="shared" si="64"/>
        <v>1835.666939</v>
      </c>
      <c r="E277" s="962">
        <f t="shared" si="65"/>
        <v>232.3329928</v>
      </c>
      <c r="F277" s="961">
        <f t="shared" si="66"/>
        <v>2122.2145481779003</v>
      </c>
      <c r="G277" s="961">
        <f t="shared" si="67"/>
        <v>2506.6032052045002</v>
      </c>
      <c r="H277" s="962">
        <f t="shared" si="68"/>
        <v>268.60017297608005</v>
      </c>
      <c r="I277" s="962">
        <f t="shared" si="69"/>
        <v>317.25070166840004</v>
      </c>
    </row>
    <row r="278" spans="1:11">
      <c r="A278" s="895" t="s">
        <v>2248</v>
      </c>
      <c r="B278" s="895">
        <f t="shared" si="70"/>
        <v>2022</v>
      </c>
      <c r="C278" s="895" t="str">
        <f t="shared" si="70"/>
        <v>PUR</v>
      </c>
      <c r="D278" s="961">
        <f t="shared" si="64"/>
        <v>201.54410580000001</v>
      </c>
      <c r="E278" s="962">
        <f t="shared" si="65"/>
        <v>24.117724599999999</v>
      </c>
      <c r="F278" s="961">
        <f t="shared" si="66"/>
        <v>233.00514071538004</v>
      </c>
      <c r="G278" s="961">
        <f t="shared" si="67"/>
        <v>275.20847646990006</v>
      </c>
      <c r="H278" s="962">
        <f t="shared" si="68"/>
        <v>27.882501410060001</v>
      </c>
      <c r="I278" s="962">
        <f t="shared" si="69"/>
        <v>32.932752941300002</v>
      </c>
    </row>
    <row r="279" spans="1:11">
      <c r="A279" s="895" t="s">
        <v>2248</v>
      </c>
      <c r="B279" s="895">
        <f t="shared" si="70"/>
        <v>2022</v>
      </c>
      <c r="C279" s="895" t="str">
        <f t="shared" si="70"/>
        <v>PVC</v>
      </c>
      <c r="D279" s="961">
        <f t="shared" si="64"/>
        <v>129.88248110000001</v>
      </c>
      <c r="E279" s="962">
        <f t="shared" si="65"/>
        <v>15.46486075</v>
      </c>
      <c r="F279" s="961">
        <f t="shared" si="66"/>
        <v>150.15713639971003</v>
      </c>
      <c r="G279" s="961">
        <f t="shared" si="67"/>
        <v>177.35452794205003</v>
      </c>
      <c r="H279" s="962">
        <f t="shared" si="68"/>
        <v>17.878925513075</v>
      </c>
      <c r="I279" s="962">
        <f t="shared" si="69"/>
        <v>21.117267354125001</v>
      </c>
    </row>
    <row r="280" spans="1:11">
      <c r="A280" s="895" t="s">
        <v>2248</v>
      </c>
      <c r="B280" s="895">
        <f t="shared" si="70"/>
        <v>2022</v>
      </c>
      <c r="C280" s="895" t="str">
        <f t="shared" si="70"/>
        <v>RUBBER</v>
      </c>
      <c r="D280" s="961">
        <f t="shared" si="64"/>
        <v>268.60700700000001</v>
      </c>
      <c r="E280" s="962">
        <f t="shared" si="65"/>
        <v>31.254233500000002</v>
      </c>
      <c r="F280" s="961">
        <f t="shared" si="66"/>
        <v>310.53656079270007</v>
      </c>
      <c r="G280" s="961">
        <f t="shared" si="67"/>
        <v>366.78286805850007</v>
      </c>
      <c r="H280" s="962">
        <f t="shared" si="68"/>
        <v>36.133019349350008</v>
      </c>
      <c r="I280" s="962">
        <f t="shared" si="69"/>
        <v>42.677655844250005</v>
      </c>
    </row>
    <row r="282" spans="1:11" s="1074" customFormat="1">
      <c r="A282" s="1071" t="s">
        <v>2162</v>
      </c>
    </row>
    <row r="283" spans="1:11" s="1074" customFormat="1" ht="1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2161</v>
      </c>
      <c r="B285">
        <v>2011</v>
      </c>
      <c r="C285" t="s">
        <v>92</v>
      </c>
      <c r="D285" s="217">
        <f>M115*(1-$B$9)</f>
        <v>54.941331439557288</v>
      </c>
      <c r="E285" s="7" t="s">
        <v>2040</v>
      </c>
      <c r="F285">
        <f t="shared" ref="F285:F308" si="71">O109</f>
        <v>1</v>
      </c>
      <c r="G285">
        <f t="shared" ref="G285:G308" si="72">P109</f>
        <v>1</v>
      </c>
      <c r="H285">
        <f t="shared" ref="H285:H308" si="73">Q109</f>
        <v>2</v>
      </c>
      <c r="I285">
        <f t="shared" ref="I285:I308" si="74">R109</f>
        <v>2</v>
      </c>
      <c r="J285">
        <f t="shared" ref="J285:J308" si="75">S109</f>
        <v>2</v>
      </c>
    </row>
    <row r="286" spans="1:11">
      <c r="A286" t="s">
        <v>2161</v>
      </c>
      <c r="B286">
        <v>2012</v>
      </c>
      <c r="C286" t="s">
        <v>92</v>
      </c>
      <c r="D286" s="217">
        <f>M122*(1-$B$9)</f>
        <v>51.456396462792867</v>
      </c>
      <c r="E286" s="7" t="s">
        <v>2040</v>
      </c>
      <c r="F286">
        <f t="shared" si="71"/>
        <v>1</v>
      </c>
      <c r="G286">
        <f t="shared" si="72"/>
        <v>1</v>
      </c>
      <c r="H286">
        <f t="shared" si="73"/>
        <v>2</v>
      </c>
      <c r="I286">
        <f t="shared" si="74"/>
        <v>2</v>
      </c>
      <c r="J286">
        <f t="shared" si="75"/>
        <v>2</v>
      </c>
    </row>
    <row r="287" spans="1:11">
      <c r="A287" t="s">
        <v>2161</v>
      </c>
      <c r="B287">
        <v>2013</v>
      </c>
      <c r="C287" t="s">
        <v>92</v>
      </c>
      <c r="D287" s="217">
        <f>M129*(1-$B$9)</f>
        <v>51.662591421562617</v>
      </c>
      <c r="E287" s="7" t="s">
        <v>2040</v>
      </c>
      <c r="F287">
        <f t="shared" si="71"/>
        <v>1</v>
      </c>
      <c r="G287">
        <f t="shared" si="72"/>
        <v>1</v>
      </c>
      <c r="H287">
        <f t="shared" si="73"/>
        <v>2</v>
      </c>
      <c r="I287">
        <f t="shared" si="74"/>
        <v>2</v>
      </c>
      <c r="J287">
        <f t="shared" si="75"/>
        <v>2</v>
      </c>
    </row>
    <row r="288" spans="1:11">
      <c r="A288" t="s">
        <v>2161</v>
      </c>
      <c r="B288">
        <v>2014</v>
      </c>
      <c r="C288" t="s">
        <v>92</v>
      </c>
      <c r="D288" s="217">
        <f>M136*(1-$B$9)</f>
        <v>56.330009028912002</v>
      </c>
      <c r="E288" s="7" t="s">
        <v>2040</v>
      </c>
      <c r="F288">
        <f t="shared" si="71"/>
        <v>1</v>
      </c>
      <c r="G288">
        <f t="shared" si="72"/>
        <v>1</v>
      </c>
      <c r="H288">
        <f t="shared" si="73"/>
        <v>2</v>
      </c>
      <c r="I288">
        <f t="shared" si="74"/>
        <v>2</v>
      </c>
      <c r="J288">
        <f t="shared" si="75"/>
        <v>2</v>
      </c>
    </row>
    <row r="289" spans="1:10">
      <c r="A289" t="s">
        <v>2161</v>
      </c>
      <c r="B289">
        <v>2015</v>
      </c>
      <c r="C289" t="s">
        <v>92</v>
      </c>
      <c r="D289" s="217">
        <f>M143*(1-$B$9)</f>
        <v>53.287965603333156</v>
      </c>
      <c r="E289" s="7" t="s">
        <v>2040</v>
      </c>
      <c r="F289">
        <f t="shared" si="71"/>
        <v>1</v>
      </c>
      <c r="G289">
        <f t="shared" si="72"/>
        <v>1</v>
      </c>
      <c r="H289">
        <f t="shared" si="73"/>
        <v>2</v>
      </c>
      <c r="I289">
        <f t="shared" si="74"/>
        <v>2</v>
      </c>
      <c r="J289">
        <f t="shared" si="75"/>
        <v>2</v>
      </c>
    </row>
    <row r="290" spans="1:10">
      <c r="A290" t="s">
        <v>2161</v>
      </c>
      <c r="B290">
        <v>2016</v>
      </c>
      <c r="C290" t="s">
        <v>92</v>
      </c>
      <c r="D290" s="217">
        <f>M150*(1-$B$9)</f>
        <v>52.381548003255105</v>
      </c>
      <c r="E290" s="7" t="s">
        <v>2040</v>
      </c>
      <c r="F290">
        <f t="shared" si="71"/>
        <v>1</v>
      </c>
      <c r="G290">
        <f t="shared" si="72"/>
        <v>1</v>
      </c>
      <c r="H290">
        <f t="shared" si="73"/>
        <v>2</v>
      </c>
      <c r="I290">
        <f t="shared" si="74"/>
        <v>2</v>
      </c>
      <c r="J290">
        <f t="shared" si="75"/>
        <v>2</v>
      </c>
    </row>
    <row r="291" spans="1:10">
      <c r="A291" t="s">
        <v>2161</v>
      </c>
      <c r="B291">
        <v>2017</v>
      </c>
      <c r="C291" t="s">
        <v>92</v>
      </c>
      <c r="D291" s="217">
        <f>M157*(1-$B$9)</f>
        <v>54.13374795259152</v>
      </c>
      <c r="E291" s="7" t="s">
        <v>2040</v>
      </c>
      <c r="F291">
        <f t="shared" si="71"/>
        <v>1</v>
      </c>
      <c r="G291">
        <f t="shared" si="72"/>
        <v>1</v>
      </c>
      <c r="H291">
        <f t="shared" si="73"/>
        <v>2</v>
      </c>
      <c r="I291">
        <f t="shared" si="74"/>
        <v>2</v>
      </c>
      <c r="J291">
        <f t="shared" si="75"/>
        <v>2</v>
      </c>
    </row>
    <row r="292" spans="1:10">
      <c r="A292" t="s">
        <v>2161</v>
      </c>
      <c r="B292">
        <v>2018</v>
      </c>
      <c r="C292" t="s">
        <v>92</v>
      </c>
      <c r="D292" s="217">
        <f>M164*(1-$B$9)</f>
        <v>65.517198060820036</v>
      </c>
      <c r="E292" s="7" t="s">
        <v>2040</v>
      </c>
      <c r="F292">
        <f t="shared" si="71"/>
        <v>1</v>
      </c>
      <c r="G292">
        <f t="shared" si="72"/>
        <v>1</v>
      </c>
      <c r="H292">
        <f t="shared" si="73"/>
        <v>2</v>
      </c>
      <c r="I292">
        <f t="shared" si="74"/>
        <v>2</v>
      </c>
      <c r="J292">
        <f t="shared" si="75"/>
        <v>2</v>
      </c>
    </row>
    <row r="293" spans="1:10">
      <c r="A293" t="s">
        <v>2161</v>
      </c>
      <c r="B293">
        <v>2019</v>
      </c>
      <c r="C293" t="s">
        <v>92</v>
      </c>
      <c r="D293" s="217">
        <f>M171*(1-$B$9)</f>
        <v>53.855761880466289</v>
      </c>
      <c r="E293" s="7" t="s">
        <v>2040</v>
      </c>
      <c r="F293">
        <f t="shared" si="71"/>
        <v>1</v>
      </c>
      <c r="G293">
        <f t="shared" si="72"/>
        <v>1</v>
      </c>
      <c r="H293">
        <f t="shared" si="73"/>
        <v>2</v>
      </c>
      <c r="I293">
        <f t="shared" si="74"/>
        <v>2</v>
      </c>
      <c r="J293">
        <f t="shared" si="75"/>
        <v>2</v>
      </c>
    </row>
    <row r="294" spans="1:10">
      <c r="A294" t="s">
        <v>2161</v>
      </c>
      <c r="B294">
        <v>2020</v>
      </c>
      <c r="C294" t="s">
        <v>92</v>
      </c>
      <c r="D294" s="217">
        <f>M178*(1-$B$9)</f>
        <v>41.710144098892762</v>
      </c>
      <c r="E294" s="7" t="s">
        <v>2040</v>
      </c>
      <c r="F294">
        <f t="shared" si="71"/>
        <v>1</v>
      </c>
      <c r="G294">
        <f t="shared" si="72"/>
        <v>1</v>
      </c>
      <c r="H294">
        <f t="shared" si="73"/>
        <v>2</v>
      </c>
      <c r="I294">
        <f t="shared" si="74"/>
        <v>2</v>
      </c>
      <c r="J294">
        <f t="shared" si="75"/>
        <v>2</v>
      </c>
    </row>
    <row r="295" spans="1:10">
      <c r="A295" t="s">
        <v>2161</v>
      </c>
      <c r="B295">
        <v>2021</v>
      </c>
      <c r="C295" t="s">
        <v>92</v>
      </c>
      <c r="D295" s="217">
        <f>M185*(1-$B$9)</f>
        <v>49.625283597448913</v>
      </c>
      <c r="E295" s="7" t="s">
        <v>2040</v>
      </c>
      <c r="F295">
        <f t="shared" si="71"/>
        <v>1</v>
      </c>
      <c r="G295">
        <f t="shared" si="72"/>
        <v>1</v>
      </c>
      <c r="H295">
        <f t="shared" si="73"/>
        <v>2</v>
      </c>
      <c r="I295">
        <f t="shared" si="74"/>
        <v>2</v>
      </c>
      <c r="J295">
        <f t="shared" si="75"/>
        <v>2</v>
      </c>
    </row>
    <row r="296" spans="1:10">
      <c r="A296" t="s">
        <v>2161</v>
      </c>
      <c r="B296">
        <v>2022</v>
      </c>
      <c r="C296" t="s">
        <v>92</v>
      </c>
      <c r="D296" s="217">
        <f>M192*(1-$B$9)</f>
        <v>48.128269636147444</v>
      </c>
      <c r="E296" s="7" t="s">
        <v>2040</v>
      </c>
      <c r="F296">
        <f t="shared" si="71"/>
        <v>1</v>
      </c>
      <c r="G296">
        <f t="shared" si="72"/>
        <v>1</v>
      </c>
      <c r="H296">
        <f t="shared" si="73"/>
        <v>2</v>
      </c>
      <c r="I296">
        <f t="shared" si="74"/>
        <v>2</v>
      </c>
      <c r="J296">
        <f t="shared" si="75"/>
        <v>2</v>
      </c>
    </row>
    <row r="297" spans="1:10">
      <c r="A297" t="s">
        <v>2161</v>
      </c>
      <c r="B297">
        <v>2011</v>
      </c>
      <c r="C297" t="s">
        <v>92</v>
      </c>
      <c r="D297" s="217">
        <f>N115*(1-$B$9)</f>
        <v>64.89264603469897</v>
      </c>
      <c r="E297" t="s">
        <v>2041</v>
      </c>
      <c r="F297">
        <f t="shared" si="71"/>
        <v>1</v>
      </c>
      <c r="G297">
        <f t="shared" si="72"/>
        <v>1</v>
      </c>
      <c r="H297">
        <f t="shared" si="73"/>
        <v>2</v>
      </c>
      <c r="I297">
        <f t="shared" si="74"/>
        <v>2</v>
      </c>
      <c r="J297">
        <f t="shared" si="75"/>
        <v>2</v>
      </c>
    </row>
    <row r="298" spans="1:10">
      <c r="A298" t="s">
        <v>2161</v>
      </c>
      <c r="B298">
        <v>2012</v>
      </c>
      <c r="C298" t="s">
        <v>92</v>
      </c>
      <c r="D298" s="217">
        <f>N122*(1-$B$9)</f>
        <v>60.776498027803527</v>
      </c>
      <c r="E298" t="s">
        <v>2041</v>
      </c>
      <c r="F298">
        <f t="shared" si="71"/>
        <v>1</v>
      </c>
      <c r="G298">
        <f t="shared" si="72"/>
        <v>1</v>
      </c>
      <c r="H298">
        <f t="shared" si="73"/>
        <v>2</v>
      </c>
      <c r="I298">
        <f t="shared" si="74"/>
        <v>2</v>
      </c>
      <c r="J298">
        <f t="shared" si="75"/>
        <v>2</v>
      </c>
    </row>
    <row r="299" spans="1:10">
      <c r="A299" t="s">
        <v>2161</v>
      </c>
      <c r="B299">
        <v>2013</v>
      </c>
      <c r="C299" t="s">
        <v>92</v>
      </c>
      <c r="D299" s="217">
        <f>N129*(1-$B$9)</f>
        <v>61.020040295946508</v>
      </c>
      <c r="E299" t="s">
        <v>2041</v>
      </c>
      <c r="F299">
        <f t="shared" si="71"/>
        <v>1</v>
      </c>
      <c r="G299">
        <f t="shared" si="72"/>
        <v>1</v>
      </c>
      <c r="H299">
        <f t="shared" si="73"/>
        <v>2</v>
      </c>
      <c r="I299">
        <f t="shared" si="74"/>
        <v>2</v>
      </c>
      <c r="J299">
        <f t="shared" si="75"/>
        <v>2</v>
      </c>
    </row>
    <row r="300" spans="1:10">
      <c r="A300" t="s">
        <v>2161</v>
      </c>
      <c r="B300">
        <v>2014</v>
      </c>
      <c r="C300" t="s">
        <v>92</v>
      </c>
      <c r="D300" s="217">
        <f>N136*(1-$B$9)</f>
        <v>66.532849519054878</v>
      </c>
      <c r="E300" t="s">
        <v>2041</v>
      </c>
      <c r="F300">
        <f t="shared" si="71"/>
        <v>1</v>
      </c>
      <c r="G300">
        <f t="shared" si="72"/>
        <v>1</v>
      </c>
      <c r="H300">
        <f t="shared" si="73"/>
        <v>2</v>
      </c>
      <c r="I300">
        <f t="shared" si="74"/>
        <v>2</v>
      </c>
      <c r="J300">
        <f t="shared" si="75"/>
        <v>2</v>
      </c>
    </row>
    <row r="301" spans="1:10">
      <c r="A301" t="s">
        <v>2161</v>
      </c>
      <c r="B301">
        <v>2015</v>
      </c>
      <c r="C301" t="s">
        <v>92</v>
      </c>
      <c r="D301" s="217">
        <f>N143*(1-$B$9)</f>
        <v>62.939812327092312</v>
      </c>
      <c r="E301" t="s">
        <v>2041</v>
      </c>
      <c r="F301">
        <f t="shared" si="71"/>
        <v>1</v>
      </c>
      <c r="G301">
        <f t="shared" si="72"/>
        <v>1</v>
      </c>
      <c r="H301">
        <f t="shared" si="73"/>
        <v>2</v>
      </c>
      <c r="I301">
        <f t="shared" si="74"/>
        <v>2</v>
      </c>
      <c r="J301">
        <f t="shared" si="75"/>
        <v>2</v>
      </c>
    </row>
    <row r="302" spans="1:10">
      <c r="A302" t="s">
        <v>2161</v>
      </c>
      <c r="B302">
        <v>2016</v>
      </c>
      <c r="C302" t="s">
        <v>92</v>
      </c>
      <c r="D302" s="217">
        <f>N150*(1-$B$9)</f>
        <v>61.869218751357877</v>
      </c>
      <c r="E302" t="s">
        <v>2041</v>
      </c>
      <c r="F302">
        <f t="shared" si="71"/>
        <v>1</v>
      </c>
      <c r="G302">
        <f t="shared" si="72"/>
        <v>1</v>
      </c>
      <c r="H302">
        <f t="shared" si="73"/>
        <v>2</v>
      </c>
      <c r="I302">
        <f t="shared" si="74"/>
        <v>2</v>
      </c>
      <c r="J302">
        <f t="shared" si="75"/>
        <v>2</v>
      </c>
    </row>
    <row r="303" spans="1:10">
      <c r="A303" t="s">
        <v>2161</v>
      </c>
      <c r="B303">
        <v>2017</v>
      </c>
      <c r="C303" t="s">
        <v>92</v>
      </c>
      <c r="D303" s="217">
        <f>N157*(1-$B$9)</f>
        <v>63.938788019430596</v>
      </c>
      <c r="E303" t="s">
        <v>2041</v>
      </c>
      <c r="F303">
        <f t="shared" si="71"/>
        <v>1</v>
      </c>
      <c r="G303">
        <f t="shared" si="72"/>
        <v>1</v>
      </c>
      <c r="H303">
        <f t="shared" si="73"/>
        <v>2</v>
      </c>
      <c r="I303">
        <f t="shared" si="74"/>
        <v>2</v>
      </c>
      <c r="J303">
        <f t="shared" si="75"/>
        <v>2</v>
      </c>
    </row>
    <row r="304" spans="1:10">
      <c r="A304" t="s">
        <v>2161</v>
      </c>
      <c r="B304">
        <v>2018</v>
      </c>
      <c r="C304" t="s">
        <v>92</v>
      </c>
      <c r="D304" s="217">
        <f>N164*(1-$B$9)</f>
        <v>77.384079190424487</v>
      </c>
      <c r="E304" t="s">
        <v>2041</v>
      </c>
      <c r="F304">
        <f t="shared" si="71"/>
        <v>1</v>
      </c>
      <c r="G304">
        <f t="shared" si="72"/>
        <v>1</v>
      </c>
      <c r="H304">
        <f t="shared" si="73"/>
        <v>2</v>
      </c>
      <c r="I304">
        <f t="shared" si="74"/>
        <v>2</v>
      </c>
      <c r="J304">
        <f t="shared" si="75"/>
        <v>2</v>
      </c>
    </row>
    <row r="305" spans="1:10">
      <c r="A305" t="s">
        <v>2161</v>
      </c>
      <c r="B305">
        <v>2019</v>
      </c>
      <c r="C305" t="s">
        <v>92</v>
      </c>
      <c r="D305" s="217">
        <f>N171*(1-$B$9)</f>
        <v>63.610451386365121</v>
      </c>
      <c r="E305" t="s">
        <v>2041</v>
      </c>
      <c r="F305">
        <f t="shared" si="71"/>
        <v>1</v>
      </c>
      <c r="G305">
        <f t="shared" si="72"/>
        <v>1</v>
      </c>
      <c r="H305">
        <f t="shared" si="73"/>
        <v>2</v>
      </c>
      <c r="I305">
        <f t="shared" si="74"/>
        <v>2</v>
      </c>
      <c r="J305">
        <f t="shared" si="75"/>
        <v>2</v>
      </c>
    </row>
    <row r="306" spans="1:10">
      <c r="A306" t="s">
        <v>2161</v>
      </c>
      <c r="B306">
        <v>2020</v>
      </c>
      <c r="C306" t="s">
        <v>92</v>
      </c>
      <c r="D306" s="217">
        <f>N178*(1-$B$9)</f>
        <v>49.264944007471733</v>
      </c>
      <c r="E306" t="s">
        <v>2041</v>
      </c>
      <c r="F306">
        <f t="shared" si="71"/>
        <v>1</v>
      </c>
      <c r="G306">
        <f t="shared" si="72"/>
        <v>1</v>
      </c>
      <c r="H306">
        <f t="shared" si="73"/>
        <v>2</v>
      </c>
      <c r="I306">
        <f t="shared" si="74"/>
        <v>2</v>
      </c>
      <c r="J306">
        <f t="shared" si="75"/>
        <v>2</v>
      </c>
    </row>
    <row r="307" spans="1:10">
      <c r="A307" t="s">
        <v>2161</v>
      </c>
      <c r="B307">
        <v>2021</v>
      </c>
      <c r="C307" t="s">
        <v>92</v>
      </c>
      <c r="D307" s="217">
        <f>N185*(1-$B$9)</f>
        <v>58.613722647103607</v>
      </c>
      <c r="E307" t="s">
        <v>2041</v>
      </c>
      <c r="F307">
        <f t="shared" si="71"/>
        <v>1</v>
      </c>
      <c r="G307">
        <f t="shared" si="72"/>
        <v>1</v>
      </c>
      <c r="H307">
        <f t="shared" si="73"/>
        <v>2</v>
      </c>
      <c r="I307">
        <f t="shared" si="74"/>
        <v>2</v>
      </c>
      <c r="J307">
        <f t="shared" si="75"/>
        <v>2</v>
      </c>
    </row>
    <row r="308" spans="1:10">
      <c r="A308" t="s">
        <v>2161</v>
      </c>
      <c r="B308">
        <v>2022</v>
      </c>
      <c r="C308" t="s">
        <v>92</v>
      </c>
      <c r="D308" s="217">
        <f>N192*(1-$B$9)</f>
        <v>56.845560235411583</v>
      </c>
      <c r="E308" t="s">
        <v>2041</v>
      </c>
      <c r="F308">
        <f t="shared" si="71"/>
        <v>1</v>
      </c>
      <c r="G308">
        <f t="shared" si="72"/>
        <v>1</v>
      </c>
      <c r="H308">
        <f t="shared" si="73"/>
        <v>2</v>
      </c>
      <c r="I308">
        <f t="shared" si="74"/>
        <v>2</v>
      </c>
      <c r="J308">
        <f t="shared" si="75"/>
        <v>2</v>
      </c>
    </row>
    <row r="309" spans="1:10">
      <c r="A309" t="s">
        <v>2160</v>
      </c>
      <c r="B309">
        <v>2011</v>
      </c>
      <c r="C309" t="s">
        <v>99</v>
      </c>
      <c r="D309" s="217">
        <f>M109*(1-$B$9)</f>
        <v>31.32385605954126</v>
      </c>
      <c r="E309" s="7" t="s">
        <v>2040</v>
      </c>
      <c r="F309">
        <f t="shared" ref="F309:F332" si="76">O109</f>
        <v>1</v>
      </c>
      <c r="G309">
        <f t="shared" ref="G309:G332" si="77">P109</f>
        <v>1</v>
      </c>
      <c r="H309">
        <f t="shared" ref="H309:H332" si="78">Q109</f>
        <v>2</v>
      </c>
      <c r="I309">
        <f t="shared" ref="I309:I332" si="79">R109</f>
        <v>2</v>
      </c>
      <c r="J309">
        <f t="shared" ref="J309:J332" si="80">S109</f>
        <v>2</v>
      </c>
    </row>
    <row r="310" spans="1:10">
      <c r="A310" t="s">
        <v>2160</v>
      </c>
      <c r="B310">
        <v>2012</v>
      </c>
      <c r="C310" t="s">
        <v>99</v>
      </c>
      <c r="D310">
        <f>M116*(1-$B$9)</f>
        <v>28.939700712527884</v>
      </c>
      <c r="E310" s="7" t="s">
        <v>2040</v>
      </c>
      <c r="F310">
        <f t="shared" si="76"/>
        <v>1</v>
      </c>
      <c r="G310">
        <f t="shared" si="77"/>
        <v>1</v>
      </c>
      <c r="H310">
        <f t="shared" si="78"/>
        <v>2</v>
      </c>
      <c r="I310">
        <f t="shared" si="79"/>
        <v>2</v>
      </c>
      <c r="J310">
        <f t="shared" si="80"/>
        <v>2</v>
      </c>
    </row>
    <row r="311" spans="1:10">
      <c r="A311" t="s">
        <v>2160</v>
      </c>
      <c r="B311">
        <v>2013</v>
      </c>
      <c r="C311" t="s">
        <v>99</v>
      </c>
      <c r="D311">
        <f>M123*(1-$B$9)</f>
        <v>27.533755281843465</v>
      </c>
      <c r="E311" s="7" t="s">
        <v>2040</v>
      </c>
      <c r="F311">
        <f t="shared" si="76"/>
        <v>1</v>
      </c>
      <c r="G311">
        <f t="shared" si="77"/>
        <v>1</v>
      </c>
      <c r="H311">
        <f t="shared" si="78"/>
        <v>2</v>
      </c>
      <c r="I311">
        <f t="shared" si="79"/>
        <v>2</v>
      </c>
      <c r="J311">
        <f t="shared" si="80"/>
        <v>2</v>
      </c>
    </row>
    <row r="312" spans="1:10">
      <c r="A312" t="s">
        <v>2160</v>
      </c>
      <c r="B312">
        <v>2014</v>
      </c>
      <c r="C312" t="s">
        <v>99</v>
      </c>
      <c r="D312">
        <f>M130*(1-$B$9)</f>
        <v>26.834825610147327</v>
      </c>
      <c r="E312" s="7" t="s">
        <v>2040</v>
      </c>
      <c r="F312">
        <f t="shared" si="76"/>
        <v>1</v>
      </c>
      <c r="G312">
        <f t="shared" si="77"/>
        <v>1</v>
      </c>
      <c r="H312">
        <f t="shared" si="78"/>
        <v>2</v>
      </c>
      <c r="I312">
        <f t="shared" si="79"/>
        <v>2</v>
      </c>
      <c r="J312">
        <f t="shared" si="80"/>
        <v>2</v>
      </c>
    </row>
    <row r="313" spans="1:10">
      <c r="A313" t="s">
        <v>2160</v>
      </c>
      <c r="B313">
        <v>2015</v>
      </c>
      <c r="C313" t="s">
        <v>99</v>
      </c>
      <c r="D313">
        <f>M137*(1-$B$9)</f>
        <v>24.139952861315848</v>
      </c>
      <c r="E313" s="7" t="s">
        <v>2040</v>
      </c>
      <c r="F313">
        <f t="shared" si="76"/>
        <v>1</v>
      </c>
      <c r="G313">
        <f t="shared" si="77"/>
        <v>1</v>
      </c>
      <c r="H313">
        <f t="shared" si="78"/>
        <v>2</v>
      </c>
      <c r="I313">
        <f t="shared" si="79"/>
        <v>2</v>
      </c>
      <c r="J313">
        <f t="shared" si="80"/>
        <v>2</v>
      </c>
    </row>
    <row r="314" spans="1:10">
      <c r="A314" t="s">
        <v>2160</v>
      </c>
      <c r="B314">
        <v>2016</v>
      </c>
      <c r="C314" t="s">
        <v>99</v>
      </c>
      <c r="D314">
        <f>M144*(1-$B$9)</f>
        <v>27.520387154912541</v>
      </c>
      <c r="E314" s="7" t="s">
        <v>2040</v>
      </c>
      <c r="F314">
        <f t="shared" si="76"/>
        <v>1</v>
      </c>
      <c r="G314">
        <f t="shared" si="77"/>
        <v>1</v>
      </c>
      <c r="H314">
        <f t="shared" si="78"/>
        <v>2</v>
      </c>
      <c r="I314">
        <f t="shared" si="79"/>
        <v>2</v>
      </c>
      <c r="J314">
        <f t="shared" si="80"/>
        <v>2</v>
      </c>
    </row>
    <row r="315" spans="1:10">
      <c r="A315" t="s">
        <v>2160</v>
      </c>
      <c r="B315">
        <v>2017</v>
      </c>
      <c r="C315" t="s">
        <v>99</v>
      </c>
      <c r="D315">
        <f>M151*(1-$B$9)</f>
        <v>22.822083246558794</v>
      </c>
      <c r="E315" s="7" t="s">
        <v>2040</v>
      </c>
      <c r="F315">
        <f t="shared" si="76"/>
        <v>1</v>
      </c>
      <c r="G315">
        <f t="shared" si="77"/>
        <v>1</v>
      </c>
      <c r="H315">
        <f t="shared" si="78"/>
        <v>2</v>
      </c>
      <c r="I315">
        <f t="shared" si="79"/>
        <v>2</v>
      </c>
      <c r="J315">
        <f t="shared" si="80"/>
        <v>2</v>
      </c>
    </row>
    <row r="316" spans="1:10">
      <c r="A316" t="s">
        <v>2160</v>
      </c>
      <c r="B316">
        <v>2018</v>
      </c>
      <c r="C316" t="s">
        <v>99</v>
      </c>
      <c r="D316">
        <f>M158*(1-$B$9)</f>
        <v>25.958485766822115</v>
      </c>
      <c r="E316" s="7" t="s">
        <v>2040</v>
      </c>
      <c r="F316">
        <f t="shared" si="76"/>
        <v>1</v>
      </c>
      <c r="G316">
        <f t="shared" si="77"/>
        <v>1</v>
      </c>
      <c r="H316">
        <f t="shared" si="78"/>
        <v>2</v>
      </c>
      <c r="I316">
        <f t="shared" si="79"/>
        <v>2</v>
      </c>
      <c r="J316">
        <f t="shared" si="80"/>
        <v>2</v>
      </c>
    </row>
    <row r="317" spans="1:10">
      <c r="A317" t="s">
        <v>2160</v>
      </c>
      <c r="B317">
        <v>2019</v>
      </c>
      <c r="C317" t="s">
        <v>99</v>
      </c>
      <c r="D317">
        <f>M165*(1-$B$9)</f>
        <v>25.420305249096643</v>
      </c>
      <c r="E317" s="7" t="s">
        <v>2040</v>
      </c>
      <c r="F317">
        <f t="shared" si="76"/>
        <v>1</v>
      </c>
      <c r="G317">
        <f t="shared" si="77"/>
        <v>1</v>
      </c>
      <c r="H317">
        <f t="shared" si="78"/>
        <v>2</v>
      </c>
      <c r="I317">
        <f t="shared" si="79"/>
        <v>2</v>
      </c>
      <c r="J317">
        <f t="shared" si="80"/>
        <v>2</v>
      </c>
    </row>
    <row r="318" spans="1:10">
      <c r="A318" t="s">
        <v>2160</v>
      </c>
      <c r="B318">
        <v>2020</v>
      </c>
      <c r="C318" t="s">
        <v>99</v>
      </c>
      <c r="D318">
        <f>M172*(1-$B$9)</f>
        <v>19.264682497283751</v>
      </c>
      <c r="E318" s="7" t="s">
        <v>2040</v>
      </c>
      <c r="F318">
        <f t="shared" si="76"/>
        <v>1</v>
      </c>
      <c r="G318">
        <f t="shared" si="77"/>
        <v>1</v>
      </c>
      <c r="H318">
        <f t="shared" si="78"/>
        <v>2</v>
      </c>
      <c r="I318">
        <f t="shared" si="79"/>
        <v>2</v>
      </c>
      <c r="J318">
        <f t="shared" si="80"/>
        <v>2</v>
      </c>
    </row>
    <row r="319" spans="1:10">
      <c r="A319" t="s">
        <v>2160</v>
      </c>
      <c r="B319">
        <v>2021</v>
      </c>
      <c r="C319" t="s">
        <v>99</v>
      </c>
      <c r="D319">
        <f>M179*(1-$B$9)</f>
        <v>19.718829697359631</v>
      </c>
      <c r="E319" s="7" t="s">
        <v>2040</v>
      </c>
      <c r="F319">
        <f t="shared" si="76"/>
        <v>1</v>
      </c>
      <c r="G319">
        <f t="shared" si="77"/>
        <v>1</v>
      </c>
      <c r="H319">
        <f t="shared" si="78"/>
        <v>2</v>
      </c>
      <c r="I319">
        <f t="shared" si="79"/>
        <v>2</v>
      </c>
      <c r="J319">
        <f t="shared" si="80"/>
        <v>2</v>
      </c>
    </row>
    <row r="320" spans="1:10">
      <c r="A320" t="s">
        <v>2160</v>
      </c>
      <c r="B320">
        <v>2022</v>
      </c>
      <c r="C320" t="s">
        <v>99</v>
      </c>
      <c r="D320">
        <f>M186*(1-$B$9)</f>
        <v>21.348742392429976</v>
      </c>
      <c r="E320" s="7" t="s">
        <v>2040</v>
      </c>
      <c r="F320">
        <f t="shared" si="76"/>
        <v>1</v>
      </c>
      <c r="G320">
        <f t="shared" si="77"/>
        <v>1</v>
      </c>
      <c r="H320">
        <f t="shared" si="78"/>
        <v>2</v>
      </c>
      <c r="I320">
        <f t="shared" si="79"/>
        <v>2</v>
      </c>
      <c r="J320">
        <f t="shared" si="80"/>
        <v>2</v>
      </c>
    </row>
    <row r="321" spans="1:30">
      <c r="A321" t="s">
        <v>2160</v>
      </c>
      <c r="B321">
        <v>2011</v>
      </c>
      <c r="C321" t="s">
        <v>99</v>
      </c>
      <c r="D321">
        <f>N109*(1-$B$9)</f>
        <v>36.99742708182994</v>
      </c>
      <c r="E321" t="s">
        <v>2041</v>
      </c>
      <c r="F321">
        <f t="shared" si="76"/>
        <v>1</v>
      </c>
      <c r="G321">
        <f t="shared" si="77"/>
        <v>1</v>
      </c>
      <c r="H321">
        <f t="shared" si="78"/>
        <v>2</v>
      </c>
      <c r="I321">
        <f t="shared" si="79"/>
        <v>2</v>
      </c>
      <c r="J321">
        <f t="shared" si="80"/>
        <v>2</v>
      </c>
    </row>
    <row r="322" spans="1:30">
      <c r="A322" t="s">
        <v>2160</v>
      </c>
      <c r="B322">
        <v>2012</v>
      </c>
      <c r="C322" t="s">
        <v>99</v>
      </c>
      <c r="D322">
        <f>N116*(1-$B$9)</f>
        <v>34.181438736231144</v>
      </c>
      <c r="E322" t="s">
        <v>2041</v>
      </c>
      <c r="F322">
        <f t="shared" si="76"/>
        <v>1</v>
      </c>
      <c r="G322">
        <f t="shared" si="77"/>
        <v>1</v>
      </c>
      <c r="H322">
        <f t="shared" si="78"/>
        <v>2</v>
      </c>
      <c r="I322">
        <f t="shared" si="79"/>
        <v>2</v>
      </c>
      <c r="J322">
        <f t="shared" si="80"/>
        <v>2</v>
      </c>
    </row>
    <row r="323" spans="1:30">
      <c r="A323" t="s">
        <v>2160</v>
      </c>
      <c r="B323">
        <v>2013</v>
      </c>
      <c r="C323" t="s">
        <v>99</v>
      </c>
      <c r="D323">
        <f>N123*(1-$B$9)</f>
        <v>32.520839752060596</v>
      </c>
      <c r="E323" t="s">
        <v>2041</v>
      </c>
      <c r="F323">
        <f t="shared" si="76"/>
        <v>1</v>
      </c>
      <c r="G323">
        <f t="shared" si="77"/>
        <v>1</v>
      </c>
      <c r="H323">
        <f t="shared" si="78"/>
        <v>2</v>
      </c>
      <c r="I323">
        <f t="shared" si="79"/>
        <v>2</v>
      </c>
      <c r="J323">
        <f t="shared" si="80"/>
        <v>2</v>
      </c>
    </row>
    <row r="324" spans="1:30">
      <c r="A324" t="s">
        <v>2160</v>
      </c>
      <c r="B324">
        <v>2014</v>
      </c>
      <c r="C324" t="s">
        <v>99</v>
      </c>
      <c r="D324">
        <f>N130*(1-$B$9)</f>
        <v>31.695315604754061</v>
      </c>
      <c r="E324" t="s">
        <v>2041</v>
      </c>
      <c r="F324">
        <f t="shared" si="76"/>
        <v>1</v>
      </c>
      <c r="G324">
        <f t="shared" si="77"/>
        <v>1</v>
      </c>
      <c r="H324">
        <f t="shared" si="78"/>
        <v>2</v>
      </c>
      <c r="I324">
        <f t="shared" si="79"/>
        <v>2</v>
      </c>
      <c r="J324">
        <f t="shared" si="80"/>
        <v>2</v>
      </c>
    </row>
    <row r="325" spans="1:30">
      <c r="A325" t="s">
        <v>2160</v>
      </c>
      <c r="B325">
        <v>2015</v>
      </c>
      <c r="C325" t="s">
        <v>99</v>
      </c>
      <c r="D325">
        <f>N137*(1-$B$9)</f>
        <v>28.512330795023608</v>
      </c>
      <c r="E325" t="s">
        <v>2041</v>
      </c>
      <c r="F325">
        <f t="shared" si="76"/>
        <v>1</v>
      </c>
      <c r="G325">
        <f t="shared" si="77"/>
        <v>1</v>
      </c>
      <c r="H325">
        <f t="shared" si="78"/>
        <v>2</v>
      </c>
      <c r="I325">
        <f t="shared" si="79"/>
        <v>2</v>
      </c>
      <c r="J325">
        <f t="shared" si="80"/>
        <v>2</v>
      </c>
    </row>
    <row r="326" spans="1:30">
      <c r="A326" t="s">
        <v>2160</v>
      </c>
      <c r="B326">
        <v>2016</v>
      </c>
      <c r="C326" t="s">
        <v>99</v>
      </c>
      <c r="D326">
        <f>N144*(1-$B$9)</f>
        <v>32.505050307095466</v>
      </c>
      <c r="E326" t="s">
        <v>2041</v>
      </c>
      <c r="F326">
        <f t="shared" si="76"/>
        <v>1</v>
      </c>
      <c r="G326">
        <f t="shared" si="77"/>
        <v>1</v>
      </c>
      <c r="H326">
        <f t="shared" si="78"/>
        <v>2</v>
      </c>
      <c r="I326">
        <f t="shared" si="79"/>
        <v>2</v>
      </c>
      <c r="J326">
        <f t="shared" si="80"/>
        <v>2</v>
      </c>
    </row>
    <row r="327" spans="1:30">
      <c r="A327" t="s">
        <v>2160</v>
      </c>
      <c r="B327">
        <v>2017</v>
      </c>
      <c r="C327" t="s">
        <v>99</v>
      </c>
      <c r="D327">
        <f>N151*(1-$B$9)</f>
        <v>26.955760464644953</v>
      </c>
      <c r="E327" t="s">
        <v>2041</v>
      </c>
      <c r="F327">
        <f t="shared" si="76"/>
        <v>1</v>
      </c>
      <c r="G327">
        <f t="shared" si="77"/>
        <v>1</v>
      </c>
      <c r="H327">
        <f t="shared" si="78"/>
        <v>2</v>
      </c>
      <c r="I327">
        <f t="shared" si="79"/>
        <v>2</v>
      </c>
      <c r="J327">
        <f t="shared" si="80"/>
        <v>2</v>
      </c>
    </row>
    <row r="328" spans="1:30">
      <c r="A328" t="s">
        <v>2160</v>
      </c>
      <c r="B328">
        <v>2018</v>
      </c>
      <c r="C328" t="s">
        <v>99</v>
      </c>
      <c r="D328">
        <f>N158*(1-$B$9)</f>
        <v>30.660247655562316</v>
      </c>
      <c r="E328" t="s">
        <v>2041</v>
      </c>
      <c r="F328">
        <f t="shared" si="76"/>
        <v>1</v>
      </c>
      <c r="G328">
        <f t="shared" si="77"/>
        <v>1</v>
      </c>
      <c r="H328">
        <f t="shared" si="78"/>
        <v>2</v>
      </c>
      <c r="I328">
        <f t="shared" si="79"/>
        <v>2</v>
      </c>
      <c r="J328">
        <f t="shared" si="80"/>
        <v>2</v>
      </c>
    </row>
    <row r="329" spans="1:30">
      <c r="A329" t="s">
        <v>2160</v>
      </c>
      <c r="B329">
        <v>2019</v>
      </c>
      <c r="C329" t="s">
        <v>99</v>
      </c>
      <c r="D329">
        <f>N165*(1-$B$9)</f>
        <v>30.024588545663409</v>
      </c>
      <c r="E329" t="s">
        <v>2041</v>
      </c>
      <c r="F329">
        <f t="shared" si="76"/>
        <v>1</v>
      </c>
      <c r="G329">
        <f t="shared" si="77"/>
        <v>1</v>
      </c>
      <c r="H329">
        <f t="shared" si="78"/>
        <v>2</v>
      </c>
      <c r="I329">
        <f t="shared" si="79"/>
        <v>2</v>
      </c>
      <c r="J329">
        <f t="shared" si="80"/>
        <v>2</v>
      </c>
    </row>
    <row r="330" spans="1:30">
      <c r="A330" t="s">
        <v>2160</v>
      </c>
      <c r="B330">
        <v>2020</v>
      </c>
      <c r="C330" t="s">
        <v>99</v>
      </c>
      <c r="D330">
        <f>N172*(1-$B$9)</f>
        <v>22.754021235222702</v>
      </c>
      <c r="E330" t="s">
        <v>2041</v>
      </c>
      <c r="F330">
        <f t="shared" si="76"/>
        <v>1</v>
      </c>
      <c r="G330">
        <f t="shared" si="77"/>
        <v>1</v>
      </c>
      <c r="H330">
        <f t="shared" si="78"/>
        <v>2</v>
      </c>
      <c r="I330">
        <f t="shared" si="79"/>
        <v>2</v>
      </c>
      <c r="J330">
        <f t="shared" si="80"/>
        <v>2</v>
      </c>
    </row>
    <row r="331" spans="1:30">
      <c r="A331" t="s">
        <v>2160</v>
      </c>
      <c r="B331">
        <v>2021</v>
      </c>
      <c r="C331" t="s">
        <v>99</v>
      </c>
      <c r="D331">
        <f>N179*(1-$B$9)</f>
        <v>23.29042639195967</v>
      </c>
      <c r="E331" t="s">
        <v>2041</v>
      </c>
      <c r="F331">
        <f t="shared" si="76"/>
        <v>1</v>
      </c>
      <c r="G331">
        <f t="shared" si="77"/>
        <v>1</v>
      </c>
      <c r="H331">
        <f t="shared" si="78"/>
        <v>2</v>
      </c>
      <c r="I331">
        <f t="shared" si="79"/>
        <v>2</v>
      </c>
      <c r="J331">
        <f t="shared" si="80"/>
        <v>2</v>
      </c>
    </row>
    <row r="332" spans="1:30">
      <c r="A332" t="s">
        <v>2160</v>
      </c>
      <c r="B332">
        <v>2022</v>
      </c>
      <c r="C332" t="s">
        <v>99</v>
      </c>
      <c r="D332">
        <f>N186*(1-$B$9)</f>
        <v>25.215558980073638</v>
      </c>
      <c r="E332" t="s">
        <v>2041</v>
      </c>
      <c r="F332">
        <f t="shared" si="76"/>
        <v>1</v>
      </c>
      <c r="G332">
        <f t="shared" si="77"/>
        <v>1</v>
      </c>
      <c r="H332">
        <f t="shared" si="78"/>
        <v>2</v>
      </c>
      <c r="I332">
        <f t="shared" si="79"/>
        <v>2</v>
      </c>
      <c r="J332">
        <f t="shared" si="80"/>
        <v>2</v>
      </c>
    </row>
    <row r="334" spans="1:30" s="1073" customFormat="1">
      <c r="A334" s="1065" t="s">
        <v>2163</v>
      </c>
    </row>
    <row r="335" spans="1:30" s="1073" customFormat="1" ht="15" thickBot="1"/>
    <row r="336" spans="1:30" ht="1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523</v>
      </c>
      <c r="Q336" s="108" t="s">
        <v>102</v>
      </c>
      <c r="R336" s="644" t="s">
        <v>524</v>
      </c>
      <c r="S336" s="644" t="s">
        <v>245</v>
      </c>
      <c r="T336" s="644" t="s">
        <v>525</v>
      </c>
      <c r="U336" s="644" t="s">
        <v>526</v>
      </c>
      <c r="V336" s="644" t="s">
        <v>527</v>
      </c>
      <c r="W336" s="110" t="s">
        <v>104</v>
      </c>
      <c r="X336" s="45" t="s">
        <v>105</v>
      </c>
      <c r="Y336" s="46" t="s">
        <v>65</v>
      </c>
      <c r="Z336" s="46" t="s">
        <v>67</v>
      </c>
      <c r="AA336" s="46" t="s">
        <v>73</v>
      </c>
      <c r="AB336" s="47" t="s">
        <v>79</v>
      </c>
      <c r="AC336" s="50" t="s">
        <v>106</v>
      </c>
      <c r="AD336" s="49" t="s">
        <v>123</v>
      </c>
    </row>
    <row r="337" spans="1:30">
      <c r="A337" t="s">
        <v>256</v>
      </c>
      <c r="B337" t="s">
        <v>2155</v>
      </c>
      <c r="C337" t="s">
        <v>182</v>
      </c>
      <c r="D337" t="str">
        <f>C180</f>
        <v>OTHER</v>
      </c>
      <c r="E337" s="540">
        <f>M180/Pellets!V252</f>
        <v>3.8693271202292338E-3</v>
      </c>
      <c r="F337">
        <v>2</v>
      </c>
      <c r="G337" s="7" t="s">
        <v>2040</v>
      </c>
      <c r="I337">
        <f t="shared" ref="I337:M341" si="81">O180</f>
        <v>1</v>
      </c>
      <c r="J337">
        <f t="shared" si="81"/>
        <v>1</v>
      </c>
      <c r="K337">
        <f t="shared" si="81"/>
        <v>2</v>
      </c>
      <c r="L337">
        <f t="shared" si="81"/>
        <v>2</v>
      </c>
      <c r="M337">
        <f t="shared" si="81"/>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2155</v>
      </c>
      <c r="C338" t="s">
        <v>182</v>
      </c>
      <c r="D338" t="str">
        <f>C181</f>
        <v>PA</v>
      </c>
      <c r="E338" s="540">
        <f>M181/Pellets!V250</f>
        <v>3.3558127325299704E-2</v>
      </c>
      <c r="F338">
        <v>2</v>
      </c>
      <c r="G338" s="7" t="s">
        <v>2040</v>
      </c>
      <c r="I338">
        <f t="shared" si="81"/>
        <v>1</v>
      </c>
      <c r="J338">
        <f t="shared" si="81"/>
        <v>1</v>
      </c>
      <c r="K338">
        <f t="shared" si="81"/>
        <v>2</v>
      </c>
      <c r="L338">
        <f t="shared" si="81"/>
        <v>2</v>
      </c>
      <c r="M338">
        <f t="shared" si="81"/>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2155</v>
      </c>
      <c r="C339" t="s">
        <v>182</v>
      </c>
      <c r="D339" t="str">
        <f>C182</f>
        <v>PET</v>
      </c>
      <c r="E339" s="540">
        <f>M182/Pellets!V246</f>
        <v>6.6909027236088423E-2</v>
      </c>
      <c r="F339">
        <v>2</v>
      </c>
      <c r="G339" s="7" t="s">
        <v>2040</v>
      </c>
      <c r="I339">
        <f t="shared" si="81"/>
        <v>1</v>
      </c>
      <c r="J339">
        <f t="shared" si="81"/>
        <v>1</v>
      </c>
      <c r="K339">
        <f t="shared" si="81"/>
        <v>2</v>
      </c>
      <c r="L339">
        <f t="shared" si="81"/>
        <v>2</v>
      </c>
      <c r="M339">
        <f t="shared" si="81"/>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2155</v>
      </c>
      <c r="C340" t="s">
        <v>182</v>
      </c>
      <c r="D340" t="str">
        <f>C183</f>
        <v>PUR</v>
      </c>
      <c r="E340" s="540">
        <f>M183/Pellets!V251</f>
        <v>2.2222566857895358E-2</v>
      </c>
      <c r="F340">
        <v>2</v>
      </c>
      <c r="G340" s="7" t="s">
        <v>2040</v>
      </c>
      <c r="I340">
        <f t="shared" si="81"/>
        <v>1</v>
      </c>
      <c r="J340">
        <f t="shared" si="81"/>
        <v>1</v>
      </c>
      <c r="K340">
        <f t="shared" si="81"/>
        <v>2</v>
      </c>
      <c r="L340">
        <f t="shared" si="81"/>
        <v>2</v>
      </c>
      <c r="M340">
        <f t="shared" si="81"/>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2155</v>
      </c>
      <c r="C341" t="s">
        <v>182</v>
      </c>
      <c r="D341" t="str">
        <f>C184</f>
        <v>PVC</v>
      </c>
      <c r="E341" s="540">
        <f>M184/Pellets!V245</f>
        <v>6.0053267152829484E-3</v>
      </c>
      <c r="F341">
        <v>2</v>
      </c>
      <c r="G341" s="7" t="s">
        <v>2040</v>
      </c>
      <c r="I341">
        <f t="shared" si="81"/>
        <v>1</v>
      </c>
      <c r="J341">
        <f t="shared" si="81"/>
        <v>1</v>
      </c>
      <c r="K341">
        <f t="shared" si="81"/>
        <v>2</v>
      </c>
      <c r="L341">
        <f t="shared" si="81"/>
        <v>2</v>
      </c>
      <c r="M341">
        <f t="shared" si="81"/>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2155</v>
      </c>
      <c r="C342" t="s">
        <v>182</v>
      </c>
      <c r="D342" t="str">
        <f>C180</f>
        <v>OTHER</v>
      </c>
      <c r="E342" s="540">
        <f>N180/Pellets!V252</f>
        <v>4.5701636386757368E-3</v>
      </c>
      <c r="F342">
        <v>2</v>
      </c>
      <c r="G342" t="s">
        <v>2041</v>
      </c>
      <c r="I342">
        <f t="shared" ref="I342:M346" si="82">O187</f>
        <v>1</v>
      </c>
      <c r="J342">
        <f t="shared" si="82"/>
        <v>1</v>
      </c>
      <c r="K342">
        <f t="shared" si="82"/>
        <v>2</v>
      </c>
      <c r="L342">
        <f t="shared" si="82"/>
        <v>2</v>
      </c>
      <c r="M342">
        <f t="shared" si="82"/>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2155</v>
      </c>
      <c r="C343" t="s">
        <v>182</v>
      </c>
      <c r="D343" t="str">
        <f>C181</f>
        <v>PA</v>
      </c>
      <c r="E343" s="540">
        <f>N181/Pellets!V250</f>
        <v>3.9636383412072262E-2</v>
      </c>
      <c r="F343">
        <v>2</v>
      </c>
      <c r="G343" t="s">
        <v>2041</v>
      </c>
      <c r="I343">
        <f t="shared" si="82"/>
        <v>1</v>
      </c>
      <c r="J343">
        <f t="shared" si="82"/>
        <v>1</v>
      </c>
      <c r="K343">
        <f t="shared" si="82"/>
        <v>2</v>
      </c>
      <c r="L343">
        <f t="shared" si="82"/>
        <v>2</v>
      </c>
      <c r="M343">
        <f t="shared" si="82"/>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2155</v>
      </c>
      <c r="C344" t="s">
        <v>182</v>
      </c>
      <c r="D344" t="str">
        <f>C182</f>
        <v>PET</v>
      </c>
      <c r="E344" s="540">
        <f>N182/Pellets!V246</f>
        <v>7.9028005095475098E-2</v>
      </c>
      <c r="F344">
        <v>2</v>
      </c>
      <c r="G344" t="s">
        <v>2041</v>
      </c>
      <c r="I344">
        <f t="shared" si="82"/>
        <v>1</v>
      </c>
      <c r="J344">
        <f t="shared" si="82"/>
        <v>1</v>
      </c>
      <c r="K344">
        <f t="shared" si="82"/>
        <v>2</v>
      </c>
      <c r="L344">
        <f t="shared" si="82"/>
        <v>2</v>
      </c>
      <c r="M344">
        <f t="shared" si="82"/>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2155</v>
      </c>
      <c r="C345" t="s">
        <v>182</v>
      </c>
      <c r="D345" t="str">
        <f>C183</f>
        <v>PUR</v>
      </c>
      <c r="E345" s="540">
        <f>N183/Pellets!V251</f>
        <v>2.6247655950571849E-2</v>
      </c>
      <c r="F345">
        <v>2</v>
      </c>
      <c r="G345" t="s">
        <v>2041</v>
      </c>
      <c r="I345">
        <f t="shared" si="82"/>
        <v>1</v>
      </c>
      <c r="J345">
        <f t="shared" si="82"/>
        <v>1</v>
      </c>
      <c r="K345">
        <f t="shared" si="82"/>
        <v>2</v>
      </c>
      <c r="L345">
        <f t="shared" si="82"/>
        <v>2</v>
      </c>
      <c r="M345">
        <f t="shared" si="82"/>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2155</v>
      </c>
      <c r="C346" t="s">
        <v>182</v>
      </c>
      <c r="D346" t="str">
        <f>C184</f>
        <v>PVC</v>
      </c>
      <c r="E346" s="540">
        <f>N184/Pellets!V245</f>
        <v>7.0930487239156351E-3</v>
      </c>
      <c r="F346">
        <v>2</v>
      </c>
      <c r="G346" t="s">
        <v>2041</v>
      </c>
      <c r="I346">
        <f t="shared" si="82"/>
        <v>1</v>
      </c>
      <c r="J346">
        <f t="shared" si="82"/>
        <v>1</v>
      </c>
      <c r="K346">
        <f t="shared" si="82"/>
        <v>2</v>
      </c>
      <c r="L346">
        <f t="shared" si="82"/>
        <v>2</v>
      </c>
      <c r="M346">
        <f t="shared" si="82"/>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s="1071" customFormat="1">
      <c r="A348" s="1071" t="s">
        <v>2049</v>
      </c>
    </row>
    <row r="349" spans="1:30" s="1071" customFormat="1" ht="15" thickBot="1"/>
    <row r="350" spans="1:30">
      <c r="A350" s="65" t="s">
        <v>129</v>
      </c>
      <c r="B350" s="107" t="s">
        <v>130</v>
      </c>
      <c r="C350" s="108" t="s">
        <v>131</v>
      </c>
      <c r="D350" s="109" t="s">
        <v>102</v>
      </c>
      <c r="E350" s="226" t="s">
        <v>132</v>
      </c>
      <c r="F350" s="108" t="s">
        <v>133</v>
      </c>
      <c r="G350" s="110" t="s">
        <v>104</v>
      </c>
      <c r="H350" s="111" t="s">
        <v>134</v>
      </c>
      <c r="I350" s="112" t="s">
        <v>135</v>
      </c>
      <c r="J350" s="112" t="s">
        <v>65</v>
      </c>
      <c r="K350" s="112" t="s">
        <v>67</v>
      </c>
      <c r="L350" s="112" t="s">
        <v>73</v>
      </c>
      <c r="M350" s="113" t="s">
        <v>79</v>
      </c>
    </row>
    <row r="351" spans="1:30">
      <c r="A351" t="s">
        <v>108</v>
      </c>
      <c r="B351" t="s">
        <v>2050</v>
      </c>
      <c r="C351" t="s">
        <v>180</v>
      </c>
      <c r="D351" t="s">
        <v>99</v>
      </c>
      <c r="E351" s="217">
        <v>0.17880344000000001</v>
      </c>
      <c r="F351">
        <v>1</v>
      </c>
      <c r="G351" t="s">
        <v>2051</v>
      </c>
      <c r="H351">
        <v>2</v>
      </c>
      <c r="J351">
        <v>2</v>
      </c>
      <c r="K351">
        <v>1</v>
      </c>
      <c r="L351">
        <v>2</v>
      </c>
      <c r="M351">
        <v>3</v>
      </c>
    </row>
    <row r="352" spans="1:30">
      <c r="A352" t="s">
        <v>108</v>
      </c>
      <c r="B352" t="s">
        <v>2050</v>
      </c>
      <c r="C352" t="s">
        <v>180</v>
      </c>
      <c r="D352" t="s">
        <v>98</v>
      </c>
      <c r="E352" s="217">
        <v>1.463661E-3</v>
      </c>
      <c r="F352">
        <v>1</v>
      </c>
      <c r="G352" t="s">
        <v>2051</v>
      </c>
      <c r="H352">
        <v>2</v>
      </c>
      <c r="J352">
        <v>2</v>
      </c>
      <c r="K352">
        <v>1</v>
      </c>
      <c r="L352">
        <v>2</v>
      </c>
      <c r="M352">
        <v>3</v>
      </c>
    </row>
    <row r="353" spans="1:13">
      <c r="A353" t="s">
        <v>108</v>
      </c>
      <c r="B353" t="s">
        <v>2050</v>
      </c>
      <c r="C353" t="s">
        <v>180</v>
      </c>
      <c r="D353" t="s">
        <v>95</v>
      </c>
      <c r="E353" s="217">
        <v>1.9180867000000001E-2</v>
      </c>
      <c r="F353">
        <v>1</v>
      </c>
      <c r="G353" t="s">
        <v>2051</v>
      </c>
      <c r="H353">
        <v>2</v>
      </c>
      <c r="J353">
        <v>2</v>
      </c>
      <c r="K353">
        <v>1</v>
      </c>
      <c r="L353">
        <v>2</v>
      </c>
      <c r="M353">
        <v>3</v>
      </c>
    </row>
    <row r="354" spans="1:13">
      <c r="A354" t="s">
        <v>108</v>
      </c>
      <c r="B354" t="s">
        <v>2050</v>
      </c>
      <c r="C354" t="s">
        <v>180</v>
      </c>
      <c r="D354" t="s">
        <v>91</v>
      </c>
      <c r="E354" s="217">
        <v>3.0492526999999998E-2</v>
      </c>
      <c r="F354">
        <v>1</v>
      </c>
      <c r="G354" t="s">
        <v>2051</v>
      </c>
      <c r="H354">
        <v>2</v>
      </c>
      <c r="J354">
        <v>2</v>
      </c>
      <c r="K354">
        <v>1</v>
      </c>
      <c r="L354">
        <v>2</v>
      </c>
      <c r="M354">
        <v>3</v>
      </c>
    </row>
    <row r="355" spans="1:13">
      <c r="A355" t="s">
        <v>108</v>
      </c>
      <c r="B355" t="s">
        <v>2052</v>
      </c>
      <c r="C355" t="s">
        <v>180</v>
      </c>
      <c r="D355" t="s">
        <v>98</v>
      </c>
      <c r="E355" s="217">
        <v>1.5850409999999999E-2</v>
      </c>
      <c r="F355">
        <v>1</v>
      </c>
      <c r="G355" t="s">
        <v>2051</v>
      </c>
      <c r="H355">
        <v>2</v>
      </c>
      <c r="J355">
        <v>2</v>
      </c>
      <c r="K355">
        <v>1</v>
      </c>
      <c r="L355">
        <v>2</v>
      </c>
      <c r="M355">
        <v>3</v>
      </c>
    </row>
    <row r="356" spans="1:13">
      <c r="A356" t="s">
        <v>108</v>
      </c>
      <c r="B356" t="s">
        <v>2052</v>
      </c>
      <c r="C356" t="s">
        <v>180</v>
      </c>
      <c r="D356" t="s">
        <v>95</v>
      </c>
      <c r="E356" s="217">
        <v>3.6350166000000003E-2</v>
      </c>
      <c r="F356">
        <v>1</v>
      </c>
      <c r="G356" t="s">
        <v>2051</v>
      </c>
      <c r="H356">
        <v>2</v>
      </c>
      <c r="J356">
        <v>2</v>
      </c>
      <c r="K356">
        <v>1</v>
      </c>
      <c r="L356">
        <v>2</v>
      </c>
      <c r="M356">
        <v>3</v>
      </c>
    </row>
    <row r="357" spans="1:13">
      <c r="A357" t="s">
        <v>108</v>
      </c>
      <c r="B357" t="s">
        <v>2052</v>
      </c>
      <c r="C357" t="s">
        <v>180</v>
      </c>
      <c r="D357" t="s">
        <v>91</v>
      </c>
      <c r="E357" s="217">
        <v>4.0375331E-2</v>
      </c>
      <c r="F357">
        <v>1</v>
      </c>
      <c r="G357" t="s">
        <v>2051</v>
      </c>
      <c r="H357">
        <v>2</v>
      </c>
      <c r="J357">
        <v>2</v>
      </c>
      <c r="K357">
        <v>1</v>
      </c>
      <c r="L357">
        <v>2</v>
      </c>
      <c r="M357">
        <v>3</v>
      </c>
    </row>
    <row r="358" spans="1:13">
      <c r="A358" t="s">
        <v>108</v>
      </c>
      <c r="B358" t="s">
        <v>2052</v>
      </c>
      <c r="C358" t="s">
        <v>180</v>
      </c>
      <c r="D358" t="s">
        <v>93</v>
      </c>
      <c r="E358" s="217">
        <v>0.49830867699999998</v>
      </c>
      <c r="F358">
        <v>1</v>
      </c>
      <c r="G358" t="s">
        <v>2051</v>
      </c>
      <c r="H358">
        <v>2</v>
      </c>
      <c r="J358">
        <v>2</v>
      </c>
      <c r="K358">
        <v>1</v>
      </c>
      <c r="L358">
        <v>2</v>
      </c>
      <c r="M358">
        <v>3</v>
      </c>
    </row>
    <row r="359" spans="1:13">
      <c r="A359" t="s">
        <v>108</v>
      </c>
      <c r="B359" t="s">
        <v>2052</v>
      </c>
      <c r="C359" t="s">
        <v>180</v>
      </c>
      <c r="D359" t="s">
        <v>90</v>
      </c>
      <c r="E359" s="217">
        <v>0.45898524299999999</v>
      </c>
      <c r="F359">
        <v>1</v>
      </c>
      <c r="G359" t="s">
        <v>2051</v>
      </c>
      <c r="H359">
        <v>2</v>
      </c>
      <c r="J359">
        <v>2</v>
      </c>
      <c r="K359">
        <v>1</v>
      </c>
      <c r="L359">
        <v>2</v>
      </c>
      <c r="M359">
        <v>3</v>
      </c>
    </row>
    <row r="360" spans="1:13">
      <c r="A360" t="s">
        <v>108</v>
      </c>
      <c r="B360" t="s">
        <v>2052</v>
      </c>
      <c r="C360" t="s">
        <v>180</v>
      </c>
      <c r="D360" t="s">
        <v>92</v>
      </c>
      <c r="E360" s="217">
        <v>0.19374356000000001</v>
      </c>
      <c r="F360">
        <v>1</v>
      </c>
      <c r="G360" t="s">
        <v>2051</v>
      </c>
      <c r="H360">
        <v>2</v>
      </c>
      <c r="J360">
        <v>2</v>
      </c>
      <c r="K360">
        <v>1</v>
      </c>
      <c r="L360">
        <v>2</v>
      </c>
      <c r="M360">
        <v>3</v>
      </c>
    </row>
    <row r="361" spans="1:13">
      <c r="A361" t="s">
        <v>108</v>
      </c>
      <c r="B361" t="s">
        <v>2053</v>
      </c>
      <c r="C361" t="s">
        <v>180</v>
      </c>
      <c r="D361" t="s">
        <v>98</v>
      </c>
      <c r="E361" s="217">
        <v>0.26250200600000001</v>
      </c>
      <c r="F361">
        <v>1</v>
      </c>
      <c r="G361" t="s">
        <v>2051</v>
      </c>
      <c r="H361">
        <v>2</v>
      </c>
      <c r="J361">
        <v>2</v>
      </c>
      <c r="K361">
        <v>1</v>
      </c>
      <c r="L361">
        <v>2</v>
      </c>
      <c r="M361">
        <v>3</v>
      </c>
    </row>
    <row r="362" spans="1:13">
      <c r="A362" t="s">
        <v>108</v>
      </c>
      <c r="B362" t="s">
        <v>2053</v>
      </c>
      <c r="C362" t="s">
        <v>180</v>
      </c>
      <c r="D362" t="s">
        <v>95</v>
      </c>
      <c r="E362" s="217">
        <v>7.8522105999999994E-2</v>
      </c>
      <c r="F362">
        <v>1</v>
      </c>
      <c r="G362" t="s">
        <v>2051</v>
      </c>
      <c r="H362">
        <v>2</v>
      </c>
      <c r="J362">
        <v>2</v>
      </c>
      <c r="K362">
        <v>1</v>
      </c>
      <c r="L362">
        <v>2</v>
      </c>
      <c r="M362">
        <v>3</v>
      </c>
    </row>
    <row r="363" spans="1:13">
      <c r="A363" t="s">
        <v>108</v>
      </c>
      <c r="B363" t="s">
        <v>2053</v>
      </c>
      <c r="C363" t="s">
        <v>180</v>
      </c>
      <c r="D363" t="s">
        <v>91</v>
      </c>
      <c r="E363" s="217">
        <v>0.16171503700000001</v>
      </c>
      <c r="F363">
        <v>1</v>
      </c>
      <c r="G363" t="s">
        <v>2051</v>
      </c>
      <c r="H363">
        <v>2</v>
      </c>
      <c r="J363">
        <v>2</v>
      </c>
      <c r="K363">
        <v>1</v>
      </c>
      <c r="L363">
        <v>2</v>
      </c>
      <c r="M363">
        <v>3</v>
      </c>
    </row>
    <row r="364" spans="1:13">
      <c r="A364" t="s">
        <v>108</v>
      </c>
      <c r="B364" t="s">
        <v>2053</v>
      </c>
      <c r="C364" t="s">
        <v>180</v>
      </c>
      <c r="D364" t="s">
        <v>93</v>
      </c>
      <c r="E364" s="217">
        <v>0.40365957699999999</v>
      </c>
      <c r="F364">
        <v>1</v>
      </c>
      <c r="G364" t="s">
        <v>2051</v>
      </c>
      <c r="H364">
        <v>2</v>
      </c>
      <c r="J364">
        <v>2</v>
      </c>
      <c r="K364">
        <v>1</v>
      </c>
      <c r="L364">
        <v>2</v>
      </c>
      <c r="M364">
        <v>3</v>
      </c>
    </row>
    <row r="365" spans="1:13">
      <c r="A365" t="s">
        <v>108</v>
      </c>
      <c r="B365" t="s">
        <v>2053</v>
      </c>
      <c r="C365" t="s">
        <v>180</v>
      </c>
      <c r="D365" t="s">
        <v>90</v>
      </c>
      <c r="E365" s="217">
        <v>0.424920301</v>
      </c>
      <c r="F365">
        <v>1</v>
      </c>
      <c r="G365" t="s">
        <v>2051</v>
      </c>
      <c r="H365">
        <v>2</v>
      </c>
      <c r="J365">
        <v>2</v>
      </c>
      <c r="K365">
        <v>1</v>
      </c>
      <c r="L365">
        <v>2</v>
      </c>
      <c r="M365">
        <v>3</v>
      </c>
    </row>
    <row r="366" spans="1:13">
      <c r="A366" t="s">
        <v>108</v>
      </c>
      <c r="B366" t="s">
        <v>2053</v>
      </c>
      <c r="C366" t="s">
        <v>180</v>
      </c>
      <c r="D366" t="s">
        <v>92</v>
      </c>
      <c r="E366" s="217">
        <v>0.608751602</v>
      </c>
      <c r="F366">
        <v>1</v>
      </c>
      <c r="G366" t="s">
        <v>2051</v>
      </c>
      <c r="H366">
        <v>2</v>
      </c>
      <c r="J366">
        <v>2</v>
      </c>
      <c r="K366">
        <v>1</v>
      </c>
      <c r="L366">
        <v>2</v>
      </c>
      <c r="M366">
        <v>3</v>
      </c>
    </row>
    <row r="367" spans="1:13">
      <c r="A367" t="s">
        <v>108</v>
      </c>
      <c r="B367" t="s">
        <v>2177</v>
      </c>
      <c r="C367" t="s">
        <v>180</v>
      </c>
      <c r="D367" t="s">
        <v>99</v>
      </c>
      <c r="E367" s="217">
        <v>0</v>
      </c>
      <c r="F367">
        <v>1</v>
      </c>
      <c r="G367" t="s">
        <v>2051</v>
      </c>
      <c r="H367">
        <v>2</v>
      </c>
      <c r="J367">
        <v>2</v>
      </c>
      <c r="K367">
        <v>1</v>
      </c>
      <c r="L367">
        <v>2</v>
      </c>
      <c r="M367">
        <v>3</v>
      </c>
    </row>
    <row r="368" spans="1:13">
      <c r="A368" t="s">
        <v>108</v>
      </c>
      <c r="B368" t="s">
        <v>2177</v>
      </c>
      <c r="C368" t="s">
        <v>180</v>
      </c>
      <c r="D368" t="s">
        <v>98</v>
      </c>
      <c r="E368" s="217">
        <v>1.459066E-3</v>
      </c>
      <c r="F368">
        <v>1</v>
      </c>
      <c r="G368" t="s">
        <v>2051</v>
      </c>
      <c r="H368">
        <v>2</v>
      </c>
      <c r="J368">
        <v>2</v>
      </c>
      <c r="K368">
        <v>1</v>
      </c>
      <c r="L368">
        <v>2</v>
      </c>
      <c r="M368">
        <v>3</v>
      </c>
    </row>
    <row r="369" spans="1:13">
      <c r="A369" t="s">
        <v>108</v>
      </c>
      <c r="B369" t="s">
        <v>2177</v>
      </c>
      <c r="C369" t="s">
        <v>180</v>
      </c>
      <c r="D369" t="s">
        <v>95</v>
      </c>
      <c r="E369" s="217">
        <v>2.6768923999999999E-2</v>
      </c>
      <c r="F369">
        <v>1</v>
      </c>
      <c r="G369" t="s">
        <v>2051</v>
      </c>
      <c r="H369">
        <v>2</v>
      </c>
      <c r="J369">
        <v>2</v>
      </c>
      <c r="K369">
        <v>1</v>
      </c>
      <c r="L369">
        <v>2</v>
      </c>
      <c r="M369">
        <v>3</v>
      </c>
    </row>
    <row r="370" spans="1:13">
      <c r="A370" t="s">
        <v>108</v>
      </c>
      <c r="B370" t="s">
        <v>2177</v>
      </c>
      <c r="C370" t="s">
        <v>180</v>
      </c>
      <c r="D370" t="s">
        <v>91</v>
      </c>
      <c r="E370" s="217">
        <v>3.7166411000000003E-2</v>
      </c>
      <c r="F370">
        <v>1</v>
      </c>
      <c r="G370" t="s">
        <v>2051</v>
      </c>
      <c r="H370">
        <v>2</v>
      </c>
      <c r="J370">
        <v>2</v>
      </c>
      <c r="K370">
        <v>1</v>
      </c>
      <c r="L370">
        <v>2</v>
      </c>
      <c r="M370">
        <v>3</v>
      </c>
    </row>
    <row r="371" spans="1:13">
      <c r="A371" t="s">
        <v>108</v>
      </c>
      <c r="B371" t="s">
        <v>2178</v>
      </c>
      <c r="C371" t="s">
        <v>180</v>
      </c>
      <c r="D371" t="s">
        <v>99</v>
      </c>
      <c r="E371" s="217">
        <v>0.54133729500000005</v>
      </c>
      <c r="F371">
        <v>1</v>
      </c>
      <c r="G371" t="s">
        <v>2051</v>
      </c>
      <c r="H371">
        <v>2</v>
      </c>
      <c r="J371">
        <v>2</v>
      </c>
      <c r="K371">
        <v>1</v>
      </c>
      <c r="L371">
        <v>2</v>
      </c>
      <c r="M371">
        <v>3</v>
      </c>
    </row>
    <row r="372" spans="1:13">
      <c r="A372" t="s">
        <v>108</v>
      </c>
      <c r="B372" t="s">
        <v>2178</v>
      </c>
      <c r="C372" t="s">
        <v>180</v>
      </c>
      <c r="D372" t="s">
        <v>98</v>
      </c>
      <c r="E372" s="217">
        <v>6.4455466000000003E-2</v>
      </c>
      <c r="F372">
        <v>1</v>
      </c>
      <c r="G372" t="s">
        <v>2051</v>
      </c>
      <c r="H372">
        <v>2</v>
      </c>
      <c r="J372">
        <v>2</v>
      </c>
      <c r="K372">
        <v>1</v>
      </c>
      <c r="L372">
        <v>2</v>
      </c>
      <c r="M372">
        <v>3</v>
      </c>
    </row>
    <row r="373" spans="1:13">
      <c r="A373" t="s">
        <v>108</v>
      </c>
      <c r="B373" t="s">
        <v>2178</v>
      </c>
      <c r="C373" t="s">
        <v>180</v>
      </c>
      <c r="D373" t="s">
        <v>95</v>
      </c>
      <c r="E373" s="217">
        <v>0.31675163699999997</v>
      </c>
      <c r="F373">
        <v>1</v>
      </c>
      <c r="G373" t="s">
        <v>2051</v>
      </c>
      <c r="H373">
        <v>2</v>
      </c>
      <c r="J373">
        <v>2</v>
      </c>
      <c r="K373">
        <v>1</v>
      </c>
      <c r="L373">
        <v>2</v>
      </c>
      <c r="M373">
        <v>3</v>
      </c>
    </row>
    <row r="374" spans="1:13">
      <c r="A374" t="s">
        <v>108</v>
      </c>
      <c r="B374" t="s">
        <v>2178</v>
      </c>
      <c r="C374" t="s">
        <v>180</v>
      </c>
      <c r="D374" t="s">
        <v>91</v>
      </c>
      <c r="E374" s="217">
        <v>0.17649963399999999</v>
      </c>
      <c r="F374">
        <v>1</v>
      </c>
      <c r="G374" t="s">
        <v>2051</v>
      </c>
      <c r="H374">
        <v>2</v>
      </c>
      <c r="J374">
        <v>2</v>
      </c>
      <c r="K374">
        <v>1</v>
      </c>
      <c r="L374">
        <v>2</v>
      </c>
      <c r="M374">
        <v>3</v>
      </c>
    </row>
    <row r="375" spans="1:13">
      <c r="A375" t="s">
        <v>108</v>
      </c>
      <c r="B375" t="s">
        <v>2179</v>
      </c>
      <c r="C375" t="s">
        <v>180</v>
      </c>
      <c r="D375" t="s">
        <v>99</v>
      </c>
      <c r="E375" s="217">
        <v>8.7360879999999995E-3</v>
      </c>
      <c r="F375">
        <v>1</v>
      </c>
      <c r="G375" t="s">
        <v>2051</v>
      </c>
      <c r="H375">
        <v>2</v>
      </c>
      <c r="J375">
        <v>2</v>
      </c>
      <c r="K375">
        <v>1</v>
      </c>
      <c r="L375">
        <v>2</v>
      </c>
      <c r="M375">
        <v>3</v>
      </c>
    </row>
    <row r="376" spans="1:13">
      <c r="A376" t="s">
        <v>108</v>
      </c>
      <c r="B376" t="s">
        <v>2179</v>
      </c>
      <c r="C376" t="s">
        <v>180</v>
      </c>
      <c r="D376" t="s">
        <v>98</v>
      </c>
      <c r="E376" s="217">
        <v>6.351471E-3</v>
      </c>
      <c r="F376">
        <v>1</v>
      </c>
      <c r="G376" t="s">
        <v>2051</v>
      </c>
      <c r="H376">
        <v>2</v>
      </c>
      <c r="J376">
        <v>2</v>
      </c>
      <c r="K376">
        <v>1</v>
      </c>
      <c r="L376">
        <v>2</v>
      </c>
      <c r="M376">
        <v>3</v>
      </c>
    </row>
    <row r="377" spans="1:13">
      <c r="A377" t="s">
        <v>108</v>
      </c>
      <c r="B377" t="s">
        <v>2179</v>
      </c>
      <c r="C377" t="s">
        <v>180</v>
      </c>
      <c r="D377" t="s">
        <v>95</v>
      </c>
      <c r="E377" s="217">
        <v>1.6600953000000002E-2</v>
      </c>
      <c r="F377">
        <v>1</v>
      </c>
      <c r="G377" t="s">
        <v>2051</v>
      </c>
      <c r="H377">
        <v>2</v>
      </c>
      <c r="J377">
        <v>2</v>
      </c>
      <c r="K377">
        <v>1</v>
      </c>
      <c r="L377">
        <v>2</v>
      </c>
      <c r="M377">
        <v>3</v>
      </c>
    </row>
    <row r="378" spans="1:13">
      <c r="A378" t="s">
        <v>108</v>
      </c>
      <c r="B378" t="s">
        <v>2179</v>
      </c>
      <c r="C378" t="s">
        <v>180</v>
      </c>
      <c r="D378" t="s">
        <v>91</v>
      </c>
      <c r="E378" s="217">
        <v>2.3272089999999998E-3</v>
      </c>
      <c r="F378">
        <v>1</v>
      </c>
      <c r="G378" t="s">
        <v>2051</v>
      </c>
      <c r="H378">
        <v>2</v>
      </c>
      <c r="J378">
        <v>2</v>
      </c>
      <c r="K378">
        <v>1</v>
      </c>
      <c r="L378">
        <v>2</v>
      </c>
      <c r="M378">
        <v>3</v>
      </c>
    </row>
    <row r="379" spans="1:13">
      <c r="A379" t="s">
        <v>108</v>
      </c>
      <c r="B379" t="s">
        <v>2054</v>
      </c>
      <c r="C379" t="s">
        <v>180</v>
      </c>
      <c r="D379" t="s">
        <v>98</v>
      </c>
      <c r="E379" s="217">
        <v>0.26504994500000001</v>
      </c>
      <c r="F379">
        <v>1</v>
      </c>
      <c r="G379" t="s">
        <v>2051</v>
      </c>
      <c r="H379">
        <v>2</v>
      </c>
      <c r="J379">
        <v>2</v>
      </c>
      <c r="K379">
        <v>1</v>
      </c>
      <c r="L379">
        <v>2</v>
      </c>
      <c r="M379">
        <v>3</v>
      </c>
    </row>
    <row r="380" spans="1:13">
      <c r="A380" t="s">
        <v>108</v>
      </c>
      <c r="B380" t="s">
        <v>2054</v>
      </c>
      <c r="C380" t="s">
        <v>180</v>
      </c>
      <c r="D380" t="s">
        <v>95</v>
      </c>
      <c r="E380" s="217">
        <v>0</v>
      </c>
      <c r="F380">
        <v>1</v>
      </c>
      <c r="G380" t="s">
        <v>2051</v>
      </c>
      <c r="H380">
        <v>2</v>
      </c>
      <c r="J380">
        <v>2</v>
      </c>
      <c r="K380">
        <v>1</v>
      </c>
      <c r="L380">
        <v>2</v>
      </c>
      <c r="M380">
        <v>3</v>
      </c>
    </row>
    <row r="381" spans="1:13">
      <c r="A381" t="s">
        <v>108</v>
      </c>
      <c r="B381" t="s">
        <v>2054</v>
      </c>
      <c r="C381" t="s">
        <v>180</v>
      </c>
      <c r="D381" t="s">
        <v>91</v>
      </c>
      <c r="E381" s="217">
        <v>4.9643730000000002E-3</v>
      </c>
      <c r="F381">
        <v>1</v>
      </c>
      <c r="G381" t="s">
        <v>2051</v>
      </c>
      <c r="H381">
        <v>2</v>
      </c>
      <c r="J381">
        <v>2</v>
      </c>
      <c r="K381">
        <v>1</v>
      </c>
      <c r="L381">
        <v>2</v>
      </c>
      <c r="M381">
        <v>3</v>
      </c>
    </row>
    <row r="382" spans="1:13">
      <c r="A382" t="s">
        <v>108</v>
      </c>
      <c r="B382" t="s">
        <v>2054</v>
      </c>
      <c r="C382" t="s">
        <v>180</v>
      </c>
      <c r="D382" t="s">
        <v>93</v>
      </c>
      <c r="E382" s="217">
        <v>9.8031746000000003E-2</v>
      </c>
      <c r="F382">
        <v>1</v>
      </c>
      <c r="G382" t="s">
        <v>2051</v>
      </c>
      <c r="H382">
        <v>2</v>
      </c>
      <c r="J382">
        <v>2</v>
      </c>
      <c r="K382">
        <v>1</v>
      </c>
      <c r="L382">
        <v>2</v>
      </c>
      <c r="M382">
        <v>3</v>
      </c>
    </row>
    <row r="383" spans="1:13">
      <c r="A383" t="s">
        <v>108</v>
      </c>
      <c r="B383" t="s">
        <v>2054</v>
      </c>
      <c r="C383" t="s">
        <v>180</v>
      </c>
      <c r="D383" t="s">
        <v>90</v>
      </c>
      <c r="E383" s="217">
        <v>0.116094456</v>
      </c>
      <c r="F383">
        <v>1</v>
      </c>
      <c r="G383" t="s">
        <v>2051</v>
      </c>
      <c r="H383">
        <v>2</v>
      </c>
      <c r="J383">
        <v>2</v>
      </c>
      <c r="K383">
        <v>1</v>
      </c>
      <c r="L383">
        <v>2</v>
      </c>
      <c r="M383">
        <v>3</v>
      </c>
    </row>
    <row r="384" spans="1:13">
      <c r="A384" t="s">
        <v>108</v>
      </c>
      <c r="B384" t="s">
        <v>2054</v>
      </c>
      <c r="C384" t="s">
        <v>180</v>
      </c>
      <c r="D384" t="s">
        <v>92</v>
      </c>
      <c r="E384" s="217">
        <v>0.19750483799999999</v>
      </c>
      <c r="F384">
        <v>1</v>
      </c>
      <c r="G384" t="s">
        <v>2051</v>
      </c>
      <c r="H384">
        <v>2</v>
      </c>
      <c r="J384">
        <v>2</v>
      </c>
      <c r="K384">
        <v>1</v>
      </c>
      <c r="L384">
        <v>2</v>
      </c>
      <c r="M384">
        <v>3</v>
      </c>
    </row>
    <row r="385" spans="1:13">
      <c r="A385" t="s">
        <v>108</v>
      </c>
      <c r="B385" t="s">
        <v>2180</v>
      </c>
      <c r="C385" t="s">
        <v>180</v>
      </c>
      <c r="D385" t="s">
        <v>99</v>
      </c>
      <c r="E385" s="217">
        <v>0</v>
      </c>
      <c r="F385">
        <v>1</v>
      </c>
      <c r="G385" t="s">
        <v>2051</v>
      </c>
      <c r="H385">
        <v>2</v>
      </c>
      <c r="J385">
        <v>2</v>
      </c>
      <c r="K385">
        <v>1</v>
      </c>
      <c r="L385">
        <v>2</v>
      </c>
      <c r="M385">
        <v>3</v>
      </c>
    </row>
    <row r="386" spans="1:13">
      <c r="A386" t="s">
        <v>108</v>
      </c>
      <c r="B386" t="s">
        <v>2180</v>
      </c>
      <c r="C386" t="s">
        <v>180</v>
      </c>
      <c r="D386" t="s">
        <v>98</v>
      </c>
      <c r="E386" s="217">
        <v>0.233365723</v>
      </c>
      <c r="F386">
        <v>1</v>
      </c>
      <c r="G386" t="s">
        <v>2051</v>
      </c>
      <c r="H386">
        <v>2</v>
      </c>
      <c r="J386">
        <v>2</v>
      </c>
      <c r="K386">
        <v>1</v>
      </c>
      <c r="L386">
        <v>2</v>
      </c>
      <c r="M386">
        <v>3</v>
      </c>
    </row>
    <row r="387" spans="1:13">
      <c r="A387" t="s">
        <v>108</v>
      </c>
      <c r="B387" t="s">
        <v>2180</v>
      </c>
      <c r="C387" t="s">
        <v>180</v>
      </c>
      <c r="D387" t="s">
        <v>95</v>
      </c>
      <c r="E387" s="217">
        <v>0.28597607800000002</v>
      </c>
      <c r="F387">
        <v>1</v>
      </c>
      <c r="G387" t="s">
        <v>2051</v>
      </c>
      <c r="H387">
        <v>2</v>
      </c>
      <c r="J387">
        <v>2</v>
      </c>
      <c r="K387">
        <v>1</v>
      </c>
      <c r="L387">
        <v>2</v>
      </c>
      <c r="M387">
        <v>3</v>
      </c>
    </row>
    <row r="388" spans="1:13">
      <c r="A388" t="s">
        <v>108</v>
      </c>
      <c r="B388" t="s">
        <v>2180</v>
      </c>
      <c r="C388" t="s">
        <v>180</v>
      </c>
      <c r="D388" t="s">
        <v>91</v>
      </c>
      <c r="E388" s="217">
        <v>0.29155097099999999</v>
      </c>
      <c r="F388">
        <v>1</v>
      </c>
      <c r="G388" t="s">
        <v>2051</v>
      </c>
      <c r="H388">
        <v>2</v>
      </c>
      <c r="J388">
        <v>2</v>
      </c>
      <c r="K388">
        <v>1</v>
      </c>
      <c r="L388">
        <v>2</v>
      </c>
      <c r="M388">
        <v>3</v>
      </c>
    </row>
    <row r="389" spans="1:13">
      <c r="A389" t="s">
        <v>108</v>
      </c>
      <c r="B389" t="s">
        <v>2181</v>
      </c>
      <c r="C389" t="s">
        <v>180</v>
      </c>
      <c r="D389" t="s">
        <v>99</v>
      </c>
      <c r="E389" s="217">
        <v>0</v>
      </c>
      <c r="F389">
        <v>1</v>
      </c>
      <c r="G389" t="s">
        <v>2051</v>
      </c>
      <c r="H389">
        <v>2</v>
      </c>
      <c r="J389">
        <v>2</v>
      </c>
      <c r="K389">
        <v>1</v>
      </c>
      <c r="L389">
        <v>2</v>
      </c>
      <c r="M389">
        <v>3</v>
      </c>
    </row>
    <row r="390" spans="1:13">
      <c r="A390" t="s">
        <v>108</v>
      </c>
      <c r="B390" t="s">
        <v>2181</v>
      </c>
      <c r="C390" t="s">
        <v>180</v>
      </c>
      <c r="D390" t="s">
        <v>98</v>
      </c>
      <c r="E390" s="217">
        <v>2.2136009999999999E-3</v>
      </c>
      <c r="F390">
        <v>1</v>
      </c>
      <c r="G390" t="s">
        <v>2051</v>
      </c>
      <c r="H390">
        <v>2</v>
      </c>
      <c r="J390">
        <v>2</v>
      </c>
      <c r="K390">
        <v>1</v>
      </c>
      <c r="L390">
        <v>2</v>
      </c>
      <c r="M390">
        <v>3</v>
      </c>
    </row>
    <row r="391" spans="1:13">
      <c r="A391" t="s">
        <v>108</v>
      </c>
      <c r="B391" t="s">
        <v>2181</v>
      </c>
      <c r="C391" t="s">
        <v>180</v>
      </c>
      <c r="D391" t="s">
        <v>95</v>
      </c>
      <c r="E391" s="217">
        <v>0</v>
      </c>
      <c r="F391">
        <v>1</v>
      </c>
      <c r="G391" t="s">
        <v>2051</v>
      </c>
      <c r="H391">
        <v>2</v>
      </c>
      <c r="J391">
        <v>2</v>
      </c>
      <c r="K391">
        <v>1</v>
      </c>
      <c r="L391">
        <v>2</v>
      </c>
      <c r="M391">
        <v>3</v>
      </c>
    </row>
    <row r="392" spans="1:13">
      <c r="A392" t="s">
        <v>108</v>
      </c>
      <c r="B392" t="s">
        <v>2181</v>
      </c>
      <c r="C392" t="s">
        <v>180</v>
      </c>
      <c r="D392" t="s">
        <v>91</v>
      </c>
      <c r="E392" s="217">
        <v>3.4977240999999999E-2</v>
      </c>
      <c r="F392">
        <v>1</v>
      </c>
      <c r="G392" t="s">
        <v>2051</v>
      </c>
      <c r="H392">
        <v>2</v>
      </c>
      <c r="J392">
        <v>2</v>
      </c>
      <c r="K392">
        <v>1</v>
      </c>
      <c r="L392">
        <v>2</v>
      </c>
      <c r="M392">
        <v>3</v>
      </c>
    </row>
    <row r="393" spans="1:13">
      <c r="A393" t="s">
        <v>108</v>
      </c>
      <c r="B393" t="s">
        <v>2182</v>
      </c>
      <c r="C393" t="s">
        <v>180</v>
      </c>
      <c r="D393" t="s">
        <v>99</v>
      </c>
      <c r="E393" s="217">
        <v>0.27112317699999999</v>
      </c>
      <c r="F393">
        <v>1</v>
      </c>
      <c r="G393" t="s">
        <v>2051</v>
      </c>
      <c r="H393">
        <v>2</v>
      </c>
      <c r="J393">
        <v>2</v>
      </c>
      <c r="K393">
        <v>1</v>
      </c>
      <c r="L393">
        <v>2</v>
      </c>
      <c r="M393">
        <v>3</v>
      </c>
    </row>
    <row r="394" spans="1:13">
      <c r="A394" t="s">
        <v>108</v>
      </c>
      <c r="B394" t="s">
        <v>2182</v>
      </c>
      <c r="C394" t="s">
        <v>180</v>
      </c>
      <c r="D394" t="s">
        <v>98</v>
      </c>
      <c r="E394" s="217">
        <v>3.0437175E-2</v>
      </c>
      <c r="F394">
        <v>1</v>
      </c>
      <c r="G394" t="s">
        <v>2051</v>
      </c>
      <c r="H394">
        <v>2</v>
      </c>
      <c r="J394">
        <v>2</v>
      </c>
      <c r="K394">
        <v>1</v>
      </c>
      <c r="L394">
        <v>2</v>
      </c>
      <c r="M394">
        <v>3</v>
      </c>
    </row>
    <row r="395" spans="1:13">
      <c r="A395" t="s">
        <v>108</v>
      </c>
      <c r="B395" t="s">
        <v>2182</v>
      </c>
      <c r="C395" t="s">
        <v>180</v>
      </c>
      <c r="D395" t="s">
        <v>95</v>
      </c>
      <c r="E395" s="217">
        <v>4.6534921E-2</v>
      </c>
      <c r="F395">
        <v>1</v>
      </c>
      <c r="G395" t="s">
        <v>2051</v>
      </c>
      <c r="H395">
        <v>2</v>
      </c>
      <c r="J395">
        <v>2</v>
      </c>
      <c r="K395">
        <v>1</v>
      </c>
      <c r="L395">
        <v>2</v>
      </c>
      <c r="M395">
        <v>3</v>
      </c>
    </row>
    <row r="396" spans="1:13">
      <c r="A396" t="s">
        <v>108</v>
      </c>
      <c r="B396" t="s">
        <v>2182</v>
      </c>
      <c r="C396" t="s">
        <v>180</v>
      </c>
      <c r="D396" t="s">
        <v>91</v>
      </c>
      <c r="E396" s="217">
        <v>0.129381212</v>
      </c>
      <c r="F396">
        <v>1</v>
      </c>
      <c r="G396" t="s">
        <v>2051</v>
      </c>
      <c r="H396">
        <v>2</v>
      </c>
      <c r="J396">
        <v>2</v>
      </c>
      <c r="K396">
        <v>1</v>
      </c>
      <c r="L396">
        <v>2</v>
      </c>
      <c r="M396">
        <v>3</v>
      </c>
    </row>
    <row r="397" spans="1:13">
      <c r="A397" t="s">
        <v>108</v>
      </c>
      <c r="B397" t="s">
        <v>2055</v>
      </c>
      <c r="C397" t="s">
        <v>180</v>
      </c>
      <c r="D397" t="s">
        <v>99</v>
      </c>
      <c r="E397" s="217">
        <v>0</v>
      </c>
      <c r="F397">
        <v>1</v>
      </c>
      <c r="G397" t="s">
        <v>2051</v>
      </c>
      <c r="H397">
        <v>2</v>
      </c>
      <c r="J397">
        <v>2</v>
      </c>
      <c r="K397">
        <v>1</v>
      </c>
      <c r="L397">
        <v>2</v>
      </c>
      <c r="M397">
        <v>3</v>
      </c>
    </row>
    <row r="398" spans="1:13">
      <c r="A398" t="s">
        <v>108</v>
      </c>
      <c r="B398" t="s">
        <v>2055</v>
      </c>
      <c r="C398" t="s">
        <v>180</v>
      </c>
      <c r="D398" t="s">
        <v>98</v>
      </c>
      <c r="E398" s="217">
        <v>9.6564359999999991E-3</v>
      </c>
      <c r="F398">
        <v>1</v>
      </c>
      <c r="G398" t="s">
        <v>2051</v>
      </c>
      <c r="H398">
        <v>2</v>
      </c>
      <c r="J398">
        <v>2</v>
      </c>
      <c r="K398">
        <v>1</v>
      </c>
      <c r="L398">
        <v>2</v>
      </c>
      <c r="M398">
        <v>3</v>
      </c>
    </row>
    <row r="399" spans="1:13">
      <c r="A399" t="s">
        <v>108</v>
      </c>
      <c r="B399" t="s">
        <v>2055</v>
      </c>
      <c r="C399" t="s">
        <v>180</v>
      </c>
      <c r="D399" t="s">
        <v>95</v>
      </c>
      <c r="E399" s="217">
        <v>4.1219467000000003E-2</v>
      </c>
      <c r="F399">
        <v>1</v>
      </c>
      <c r="G399" t="s">
        <v>2051</v>
      </c>
      <c r="H399">
        <v>2</v>
      </c>
      <c r="J399">
        <v>2</v>
      </c>
      <c r="K399">
        <v>1</v>
      </c>
      <c r="L399">
        <v>2</v>
      </c>
      <c r="M399">
        <v>3</v>
      </c>
    </row>
    <row r="400" spans="1:13">
      <c r="A400" t="s">
        <v>108</v>
      </c>
      <c r="B400" t="s">
        <v>2055</v>
      </c>
      <c r="C400" t="s">
        <v>180</v>
      </c>
      <c r="D400" t="s">
        <v>91</v>
      </c>
      <c r="E400" s="217">
        <v>6.6880289999999998E-3</v>
      </c>
      <c r="F400">
        <v>1</v>
      </c>
      <c r="G400" t="s">
        <v>2051</v>
      </c>
      <c r="H400">
        <v>2</v>
      </c>
      <c r="J400">
        <v>2</v>
      </c>
      <c r="K400">
        <v>1</v>
      </c>
      <c r="L400">
        <v>2</v>
      </c>
      <c r="M400">
        <v>3</v>
      </c>
    </row>
    <row r="401" spans="1:13">
      <c r="A401" t="s">
        <v>108</v>
      </c>
      <c r="B401" t="s">
        <v>2056</v>
      </c>
      <c r="C401" t="s">
        <v>180</v>
      </c>
      <c r="D401" t="s">
        <v>99</v>
      </c>
      <c r="E401" s="217">
        <v>0</v>
      </c>
      <c r="F401">
        <v>1</v>
      </c>
      <c r="G401" t="s">
        <v>2051</v>
      </c>
      <c r="H401">
        <v>2</v>
      </c>
      <c r="J401">
        <v>2</v>
      </c>
      <c r="K401">
        <v>1</v>
      </c>
      <c r="L401">
        <v>2</v>
      </c>
      <c r="M401">
        <v>3</v>
      </c>
    </row>
    <row r="402" spans="1:13">
      <c r="A402" t="s">
        <v>108</v>
      </c>
      <c r="B402" t="s">
        <v>2056</v>
      </c>
      <c r="C402" t="s">
        <v>180</v>
      </c>
      <c r="D402" t="s">
        <v>98</v>
      </c>
      <c r="E402" s="217">
        <v>4.4756049999999997E-3</v>
      </c>
      <c r="F402">
        <v>1</v>
      </c>
      <c r="G402" t="s">
        <v>2051</v>
      </c>
      <c r="H402">
        <v>2</v>
      </c>
      <c r="J402">
        <v>2</v>
      </c>
      <c r="K402">
        <v>1</v>
      </c>
      <c r="L402">
        <v>2</v>
      </c>
      <c r="M402">
        <v>3</v>
      </c>
    </row>
    <row r="403" spans="1:13">
      <c r="A403" t="s">
        <v>108</v>
      </c>
      <c r="B403" t="s">
        <v>2056</v>
      </c>
      <c r="C403" t="s">
        <v>180</v>
      </c>
      <c r="D403" t="s">
        <v>95</v>
      </c>
      <c r="E403" s="217">
        <v>0</v>
      </c>
      <c r="F403">
        <v>1</v>
      </c>
      <c r="G403" t="s">
        <v>2051</v>
      </c>
      <c r="H403">
        <v>2</v>
      </c>
      <c r="J403">
        <v>2</v>
      </c>
      <c r="K403">
        <v>1</v>
      </c>
      <c r="L403">
        <v>2</v>
      </c>
      <c r="M403">
        <v>3</v>
      </c>
    </row>
    <row r="404" spans="1:13">
      <c r="A404" t="s">
        <v>108</v>
      </c>
      <c r="B404" t="s">
        <v>2056</v>
      </c>
      <c r="C404" t="s">
        <v>180</v>
      </c>
      <c r="D404" t="s">
        <v>91</v>
      </c>
      <c r="E404" s="217">
        <v>7.1864432000000006E-2</v>
      </c>
      <c r="F404">
        <v>1</v>
      </c>
      <c r="G404" t="s">
        <v>2051</v>
      </c>
      <c r="H404">
        <v>2</v>
      </c>
      <c r="J404">
        <v>2</v>
      </c>
      <c r="K404">
        <v>1</v>
      </c>
      <c r="L404">
        <v>2</v>
      </c>
      <c r="M404">
        <v>3</v>
      </c>
    </row>
    <row r="405" spans="1:13">
      <c r="A405" t="s">
        <v>108</v>
      </c>
      <c r="B405" t="s">
        <v>2057</v>
      </c>
      <c r="C405" t="s">
        <v>180</v>
      </c>
      <c r="D405" t="s">
        <v>99</v>
      </c>
      <c r="E405" s="217">
        <v>0</v>
      </c>
      <c r="F405">
        <v>1</v>
      </c>
      <c r="G405" t="s">
        <v>2051</v>
      </c>
      <c r="H405">
        <v>2</v>
      </c>
      <c r="J405">
        <v>2</v>
      </c>
      <c r="K405">
        <v>1</v>
      </c>
      <c r="L405">
        <v>2</v>
      </c>
      <c r="M405">
        <v>3</v>
      </c>
    </row>
    <row r="406" spans="1:13">
      <c r="A406" t="s">
        <v>108</v>
      </c>
      <c r="B406" t="s">
        <v>2057</v>
      </c>
      <c r="C406" t="s">
        <v>180</v>
      </c>
      <c r="D406" t="s">
        <v>98</v>
      </c>
      <c r="E406" s="217">
        <v>0.102719435</v>
      </c>
      <c r="F406">
        <v>1</v>
      </c>
      <c r="G406" t="s">
        <v>2051</v>
      </c>
      <c r="H406">
        <v>2</v>
      </c>
      <c r="J406">
        <v>2</v>
      </c>
      <c r="K406">
        <v>1</v>
      </c>
      <c r="L406">
        <v>2</v>
      </c>
      <c r="M406">
        <v>3</v>
      </c>
    </row>
    <row r="407" spans="1:13">
      <c r="A407" t="s">
        <v>108</v>
      </c>
      <c r="B407" t="s">
        <v>2057</v>
      </c>
      <c r="C407" t="s">
        <v>180</v>
      </c>
      <c r="D407" t="s">
        <v>95</v>
      </c>
      <c r="E407" s="217">
        <v>0.132094882</v>
      </c>
      <c r="F407">
        <v>1</v>
      </c>
      <c r="G407" t="s">
        <v>2051</v>
      </c>
      <c r="H407">
        <v>2</v>
      </c>
      <c r="J407">
        <v>2</v>
      </c>
      <c r="K407">
        <v>1</v>
      </c>
      <c r="L407">
        <v>2</v>
      </c>
      <c r="M407">
        <v>3</v>
      </c>
    </row>
    <row r="408" spans="1:13">
      <c r="A408" t="s">
        <v>108</v>
      </c>
      <c r="B408" t="s">
        <v>2057</v>
      </c>
      <c r="C408" t="s">
        <v>180</v>
      </c>
      <c r="D408" t="s">
        <v>91</v>
      </c>
      <c r="E408" s="217">
        <v>1.1997593000000001E-2</v>
      </c>
      <c r="F408">
        <v>1</v>
      </c>
      <c r="G408" t="s">
        <v>2051</v>
      </c>
      <c r="H408">
        <v>2</v>
      </c>
      <c r="J408">
        <v>2</v>
      </c>
      <c r="K408">
        <v>1</v>
      </c>
      <c r="L408">
        <v>2</v>
      </c>
      <c r="M408">
        <v>3</v>
      </c>
    </row>
    <row r="410" spans="1:13" s="1065" customFormat="1">
      <c r="A410" s="1065" t="s">
        <v>2069</v>
      </c>
    </row>
    <row r="411" spans="1:13" s="1065" customFormat="1"/>
    <row r="412" spans="1:13">
      <c r="A412" t="s">
        <v>129</v>
      </c>
      <c r="B412" t="s">
        <v>130</v>
      </c>
      <c r="C412" t="s">
        <v>131</v>
      </c>
      <c r="D412" t="s">
        <v>102</v>
      </c>
      <c r="E412" t="s">
        <v>132</v>
      </c>
      <c r="F412" t="s">
        <v>133</v>
      </c>
      <c r="G412" t="s">
        <v>104</v>
      </c>
      <c r="H412" t="s">
        <v>134</v>
      </c>
      <c r="I412" t="s">
        <v>135</v>
      </c>
      <c r="J412" t="s">
        <v>65</v>
      </c>
      <c r="K412" t="s">
        <v>67</v>
      </c>
      <c r="L412" t="s">
        <v>73</v>
      </c>
      <c r="M412" t="s">
        <v>79</v>
      </c>
    </row>
    <row r="413" spans="1:13">
      <c r="A413" t="s">
        <v>108</v>
      </c>
      <c r="B413" t="s">
        <v>2050</v>
      </c>
      <c r="C413" t="s">
        <v>182</v>
      </c>
      <c r="D413" t="s">
        <v>99</v>
      </c>
      <c r="E413" s="217">
        <v>0.20473868100000001</v>
      </c>
      <c r="F413">
        <v>1</v>
      </c>
      <c r="G413" t="s">
        <v>2051</v>
      </c>
      <c r="I413">
        <v>1</v>
      </c>
      <c r="J413">
        <v>2</v>
      </c>
      <c r="K413">
        <v>1</v>
      </c>
      <c r="L413">
        <v>2</v>
      </c>
      <c r="M413">
        <v>3</v>
      </c>
    </row>
    <row r="414" spans="1:13">
      <c r="A414" t="s">
        <v>108</v>
      </c>
      <c r="B414" t="s">
        <v>2050</v>
      </c>
      <c r="C414" t="s">
        <v>182</v>
      </c>
      <c r="D414" t="s">
        <v>98</v>
      </c>
      <c r="E414" s="217">
        <v>1.6914E-3</v>
      </c>
      <c r="F414">
        <v>1</v>
      </c>
      <c r="G414" t="s">
        <v>2051</v>
      </c>
      <c r="I414">
        <v>1</v>
      </c>
      <c r="J414">
        <v>2</v>
      </c>
      <c r="K414">
        <v>1</v>
      </c>
      <c r="L414">
        <v>2</v>
      </c>
      <c r="M414">
        <v>3</v>
      </c>
    </row>
    <row r="415" spans="1:13">
      <c r="A415" t="s">
        <v>108</v>
      </c>
      <c r="B415" t="s">
        <v>2050</v>
      </c>
      <c r="C415" t="s">
        <v>182</v>
      </c>
      <c r="D415" t="s">
        <v>95</v>
      </c>
      <c r="E415" s="217">
        <v>2.3681463999999999E-2</v>
      </c>
      <c r="F415">
        <v>1</v>
      </c>
      <c r="G415" t="s">
        <v>2051</v>
      </c>
      <c r="I415">
        <v>1</v>
      </c>
      <c r="J415">
        <v>2</v>
      </c>
      <c r="K415">
        <v>1</v>
      </c>
      <c r="L415">
        <v>2</v>
      </c>
      <c r="M415">
        <v>3</v>
      </c>
    </row>
    <row r="416" spans="1:13">
      <c r="A416" t="s">
        <v>108</v>
      </c>
      <c r="B416" t="s">
        <v>2050</v>
      </c>
      <c r="C416" t="s">
        <v>182</v>
      </c>
      <c r="D416" t="s">
        <v>91</v>
      </c>
      <c r="E416" s="217">
        <v>3.7583116E-2</v>
      </c>
      <c r="F416">
        <v>1</v>
      </c>
      <c r="G416" t="s">
        <v>2051</v>
      </c>
      <c r="I416">
        <v>1</v>
      </c>
      <c r="J416">
        <v>2</v>
      </c>
      <c r="K416">
        <v>1</v>
      </c>
      <c r="L416">
        <v>2</v>
      </c>
      <c r="M416">
        <v>3</v>
      </c>
    </row>
    <row r="417" spans="1:13">
      <c r="A417" t="s">
        <v>108</v>
      </c>
      <c r="B417" t="s">
        <v>2052</v>
      </c>
      <c r="C417" t="s">
        <v>182</v>
      </c>
      <c r="D417" t="s">
        <v>98</v>
      </c>
      <c r="E417" s="217">
        <v>1.5247604999999999E-2</v>
      </c>
      <c r="F417">
        <v>1</v>
      </c>
      <c r="G417" t="s">
        <v>2051</v>
      </c>
      <c r="I417">
        <v>1</v>
      </c>
      <c r="J417">
        <v>2</v>
      </c>
      <c r="K417">
        <v>1</v>
      </c>
      <c r="L417">
        <v>2</v>
      </c>
      <c r="M417">
        <v>3</v>
      </c>
    </row>
    <row r="418" spans="1:13">
      <c r="A418" t="s">
        <v>108</v>
      </c>
      <c r="B418" t="s">
        <v>2052</v>
      </c>
      <c r="C418" t="s">
        <v>182</v>
      </c>
      <c r="D418" t="s">
        <v>95</v>
      </c>
      <c r="E418" s="217">
        <v>3.7359577999999997E-2</v>
      </c>
      <c r="F418">
        <v>1</v>
      </c>
      <c r="G418" t="s">
        <v>2051</v>
      </c>
      <c r="I418">
        <v>1</v>
      </c>
      <c r="J418">
        <v>2</v>
      </c>
      <c r="K418">
        <v>1</v>
      </c>
      <c r="L418">
        <v>2</v>
      </c>
      <c r="M418">
        <v>3</v>
      </c>
    </row>
    <row r="419" spans="1:13">
      <c r="A419" t="s">
        <v>108</v>
      </c>
      <c r="B419" t="s">
        <v>2052</v>
      </c>
      <c r="C419" t="s">
        <v>182</v>
      </c>
      <c r="D419" t="s">
        <v>91</v>
      </c>
      <c r="E419" s="217">
        <v>4.1425780000000002E-2</v>
      </c>
      <c r="F419">
        <v>1</v>
      </c>
      <c r="G419" t="s">
        <v>2051</v>
      </c>
      <c r="I419">
        <v>1</v>
      </c>
      <c r="J419">
        <v>2</v>
      </c>
      <c r="K419">
        <v>1</v>
      </c>
      <c r="L419">
        <v>2</v>
      </c>
      <c r="M419">
        <v>3</v>
      </c>
    </row>
    <row r="420" spans="1:13">
      <c r="A420" t="s">
        <v>108</v>
      </c>
      <c r="B420" t="s">
        <v>2052</v>
      </c>
      <c r="C420" t="s">
        <v>182</v>
      </c>
      <c r="D420" t="s">
        <v>93</v>
      </c>
      <c r="E420" s="217">
        <v>0.483395144</v>
      </c>
      <c r="F420">
        <v>1</v>
      </c>
      <c r="G420" t="s">
        <v>2051</v>
      </c>
      <c r="I420">
        <v>1</v>
      </c>
      <c r="J420">
        <v>2</v>
      </c>
      <c r="K420">
        <v>1</v>
      </c>
      <c r="L420">
        <v>2</v>
      </c>
      <c r="M420">
        <v>3</v>
      </c>
    </row>
    <row r="421" spans="1:13">
      <c r="A421" t="s">
        <v>108</v>
      </c>
      <c r="B421" t="s">
        <v>2052</v>
      </c>
      <c r="C421" t="s">
        <v>182</v>
      </c>
      <c r="D421" t="s">
        <v>90</v>
      </c>
      <c r="E421" s="217">
        <v>0.44302860100000002</v>
      </c>
      <c r="F421">
        <v>1</v>
      </c>
      <c r="G421" t="s">
        <v>2051</v>
      </c>
      <c r="I421">
        <v>1</v>
      </c>
      <c r="J421">
        <v>2</v>
      </c>
      <c r="K421">
        <v>1</v>
      </c>
      <c r="L421">
        <v>2</v>
      </c>
      <c r="M421">
        <v>3</v>
      </c>
    </row>
    <row r="422" spans="1:13">
      <c r="A422" t="s">
        <v>108</v>
      </c>
      <c r="B422" t="s">
        <v>2052</v>
      </c>
      <c r="C422" t="s">
        <v>182</v>
      </c>
      <c r="D422" t="s">
        <v>92</v>
      </c>
      <c r="E422" s="217">
        <v>0.18274958299999999</v>
      </c>
      <c r="F422">
        <v>1</v>
      </c>
      <c r="G422" t="s">
        <v>2051</v>
      </c>
      <c r="I422">
        <v>1</v>
      </c>
      <c r="J422">
        <v>2</v>
      </c>
      <c r="K422">
        <v>1</v>
      </c>
      <c r="L422">
        <v>2</v>
      </c>
      <c r="M422">
        <v>3</v>
      </c>
    </row>
    <row r="423" spans="1:13">
      <c r="A423" t="s">
        <v>108</v>
      </c>
      <c r="B423" t="s">
        <v>2053</v>
      </c>
      <c r="C423" t="s">
        <v>182</v>
      </c>
      <c r="D423" t="s">
        <v>98</v>
      </c>
      <c r="E423" s="217">
        <v>0.25498618099999998</v>
      </c>
      <c r="F423">
        <v>1</v>
      </c>
      <c r="G423" t="s">
        <v>2051</v>
      </c>
      <c r="I423">
        <v>1</v>
      </c>
      <c r="J423">
        <v>2</v>
      </c>
      <c r="K423">
        <v>1</v>
      </c>
      <c r="L423">
        <v>2</v>
      </c>
      <c r="M423">
        <v>3</v>
      </c>
    </row>
    <row r="424" spans="1:13">
      <c r="A424" t="s">
        <v>108</v>
      </c>
      <c r="B424" t="s">
        <v>2053</v>
      </c>
      <c r="C424" t="s">
        <v>182</v>
      </c>
      <c r="D424" t="s">
        <v>95</v>
      </c>
      <c r="E424" s="217">
        <v>8.1491139000000004E-2</v>
      </c>
      <c r="F424">
        <v>1</v>
      </c>
      <c r="G424" t="s">
        <v>2051</v>
      </c>
      <c r="I424">
        <v>1</v>
      </c>
      <c r="J424">
        <v>2</v>
      </c>
      <c r="K424">
        <v>1</v>
      </c>
      <c r="L424">
        <v>2</v>
      </c>
      <c r="M424">
        <v>3</v>
      </c>
    </row>
    <row r="425" spans="1:13">
      <c r="A425" t="s">
        <v>108</v>
      </c>
      <c r="B425" t="s">
        <v>2053</v>
      </c>
      <c r="C425" t="s">
        <v>182</v>
      </c>
      <c r="D425" t="s">
        <v>91</v>
      </c>
      <c r="E425" s="217">
        <v>0.16754361700000001</v>
      </c>
      <c r="F425">
        <v>1</v>
      </c>
      <c r="G425" t="s">
        <v>2051</v>
      </c>
      <c r="I425">
        <v>1</v>
      </c>
      <c r="J425">
        <v>2</v>
      </c>
      <c r="K425">
        <v>1</v>
      </c>
      <c r="L425">
        <v>2</v>
      </c>
      <c r="M425">
        <v>3</v>
      </c>
    </row>
    <row r="426" spans="1:13">
      <c r="A426" t="s">
        <v>108</v>
      </c>
      <c r="B426" t="s">
        <v>2053</v>
      </c>
      <c r="C426" t="s">
        <v>182</v>
      </c>
      <c r="D426" t="s">
        <v>93</v>
      </c>
      <c r="E426" s="217">
        <v>0.39540483300000001</v>
      </c>
      <c r="F426">
        <v>1</v>
      </c>
      <c r="G426" t="s">
        <v>2051</v>
      </c>
      <c r="I426">
        <v>1</v>
      </c>
      <c r="J426">
        <v>2</v>
      </c>
      <c r="K426">
        <v>1</v>
      </c>
      <c r="L426">
        <v>2</v>
      </c>
      <c r="M426">
        <v>3</v>
      </c>
    </row>
    <row r="427" spans="1:13">
      <c r="A427" t="s">
        <v>108</v>
      </c>
      <c r="B427" t="s">
        <v>2053</v>
      </c>
      <c r="C427" t="s">
        <v>182</v>
      </c>
      <c r="D427" t="s">
        <v>90</v>
      </c>
      <c r="E427" s="217">
        <v>0.41415547000000003</v>
      </c>
      <c r="F427">
        <v>1</v>
      </c>
      <c r="G427" t="s">
        <v>2051</v>
      </c>
      <c r="I427">
        <v>1</v>
      </c>
      <c r="J427">
        <v>2</v>
      </c>
      <c r="K427">
        <v>1</v>
      </c>
      <c r="L427">
        <v>2</v>
      </c>
      <c r="M427">
        <v>3</v>
      </c>
    </row>
    <row r="428" spans="1:13">
      <c r="A428" t="s">
        <v>108</v>
      </c>
      <c r="B428" t="s">
        <v>2053</v>
      </c>
      <c r="C428" t="s">
        <v>182</v>
      </c>
      <c r="D428" t="s">
        <v>92</v>
      </c>
      <c r="E428" s="217">
        <v>0.57981856300000001</v>
      </c>
      <c r="F428">
        <v>1</v>
      </c>
      <c r="G428" t="s">
        <v>2051</v>
      </c>
      <c r="I428">
        <v>1</v>
      </c>
      <c r="J428">
        <v>2</v>
      </c>
      <c r="K428">
        <v>1</v>
      </c>
      <c r="L428">
        <v>2</v>
      </c>
      <c r="M428">
        <v>3</v>
      </c>
    </row>
    <row r="429" spans="1:13">
      <c r="A429" t="s">
        <v>108</v>
      </c>
      <c r="B429" t="s">
        <v>2177</v>
      </c>
      <c r="C429" t="s">
        <v>182</v>
      </c>
      <c r="D429" t="s">
        <v>99</v>
      </c>
      <c r="E429" s="217">
        <v>0</v>
      </c>
      <c r="F429">
        <v>1</v>
      </c>
      <c r="G429" t="s">
        <v>2051</v>
      </c>
      <c r="I429">
        <v>1</v>
      </c>
      <c r="J429">
        <v>2</v>
      </c>
      <c r="K429">
        <v>1</v>
      </c>
      <c r="L429">
        <v>2</v>
      </c>
      <c r="M429">
        <v>3</v>
      </c>
    </row>
    <row r="430" spans="1:13">
      <c r="A430" t="s">
        <v>108</v>
      </c>
      <c r="B430" t="s">
        <v>2177</v>
      </c>
      <c r="C430" t="s">
        <v>182</v>
      </c>
      <c r="D430" t="s">
        <v>98</v>
      </c>
      <c r="E430" s="217">
        <v>1.3613259999999999E-3</v>
      </c>
      <c r="F430">
        <v>1</v>
      </c>
      <c r="G430" t="s">
        <v>2051</v>
      </c>
      <c r="I430">
        <v>1</v>
      </c>
      <c r="J430">
        <v>2</v>
      </c>
      <c r="K430">
        <v>1</v>
      </c>
      <c r="L430">
        <v>2</v>
      </c>
      <c r="M430">
        <v>3</v>
      </c>
    </row>
    <row r="431" spans="1:13">
      <c r="A431" t="s">
        <v>108</v>
      </c>
      <c r="B431" t="s">
        <v>2177</v>
      </c>
      <c r="C431" t="s">
        <v>182</v>
      </c>
      <c r="D431" t="s">
        <v>95</v>
      </c>
      <c r="E431" s="217">
        <v>2.6684098E-2</v>
      </c>
      <c r="F431">
        <v>1</v>
      </c>
      <c r="G431" t="s">
        <v>2051</v>
      </c>
      <c r="I431">
        <v>1</v>
      </c>
      <c r="J431">
        <v>2</v>
      </c>
      <c r="K431">
        <v>1</v>
      </c>
      <c r="L431">
        <v>2</v>
      </c>
      <c r="M431">
        <v>3</v>
      </c>
    </row>
    <row r="432" spans="1:13">
      <c r="A432" t="s">
        <v>108</v>
      </c>
      <c r="B432" t="s">
        <v>2177</v>
      </c>
      <c r="C432" t="s">
        <v>182</v>
      </c>
      <c r="D432" t="s">
        <v>91</v>
      </c>
      <c r="E432" s="217">
        <v>3.6985481000000001E-2</v>
      </c>
      <c r="F432">
        <v>1</v>
      </c>
      <c r="G432" t="s">
        <v>2051</v>
      </c>
      <c r="I432">
        <v>1</v>
      </c>
      <c r="J432">
        <v>2</v>
      </c>
      <c r="K432">
        <v>1</v>
      </c>
      <c r="L432">
        <v>2</v>
      </c>
      <c r="M432">
        <v>3</v>
      </c>
    </row>
    <row r="433" spans="1:13">
      <c r="A433" t="s">
        <v>108</v>
      </c>
      <c r="B433" t="s">
        <v>2178</v>
      </c>
      <c r="C433" t="s">
        <v>182</v>
      </c>
      <c r="D433" t="s">
        <v>99</v>
      </c>
      <c r="E433" s="217">
        <v>0.51736573699999999</v>
      </c>
      <c r="F433">
        <v>1</v>
      </c>
      <c r="G433" t="s">
        <v>2051</v>
      </c>
      <c r="I433">
        <v>1</v>
      </c>
      <c r="J433">
        <v>2</v>
      </c>
      <c r="K433">
        <v>1</v>
      </c>
      <c r="L433">
        <v>2</v>
      </c>
      <c r="M433">
        <v>3</v>
      </c>
    </row>
    <row r="434" spans="1:13">
      <c r="A434" t="s">
        <v>108</v>
      </c>
      <c r="B434" t="s">
        <v>2178</v>
      </c>
      <c r="C434" t="s">
        <v>182</v>
      </c>
      <c r="D434" t="s">
        <v>98</v>
      </c>
      <c r="E434" s="217">
        <v>6.2168635E-2</v>
      </c>
      <c r="F434">
        <v>1</v>
      </c>
      <c r="G434" t="s">
        <v>2051</v>
      </c>
      <c r="I434">
        <v>1</v>
      </c>
      <c r="J434">
        <v>2</v>
      </c>
      <c r="K434">
        <v>1</v>
      </c>
      <c r="L434">
        <v>2</v>
      </c>
      <c r="M434">
        <v>3</v>
      </c>
    </row>
    <row r="435" spans="1:13">
      <c r="A435" t="s">
        <v>108</v>
      </c>
      <c r="B435" t="s">
        <v>2178</v>
      </c>
      <c r="C435" t="s">
        <v>182</v>
      </c>
      <c r="D435" t="s">
        <v>95</v>
      </c>
      <c r="E435" s="217">
        <v>0.32641106600000003</v>
      </c>
      <c r="F435">
        <v>1</v>
      </c>
      <c r="G435" t="s">
        <v>2051</v>
      </c>
      <c r="I435">
        <v>1</v>
      </c>
      <c r="J435">
        <v>2</v>
      </c>
      <c r="K435">
        <v>1</v>
      </c>
      <c r="L435">
        <v>2</v>
      </c>
      <c r="M435">
        <v>3</v>
      </c>
    </row>
    <row r="436" spans="1:13">
      <c r="A436" t="s">
        <v>108</v>
      </c>
      <c r="B436" t="s">
        <v>2178</v>
      </c>
      <c r="C436" t="s">
        <v>182</v>
      </c>
      <c r="D436" t="s">
        <v>91</v>
      </c>
      <c r="E436" s="217">
        <v>0.18157198999999999</v>
      </c>
      <c r="F436">
        <v>1</v>
      </c>
      <c r="G436" t="s">
        <v>2051</v>
      </c>
      <c r="I436">
        <v>1</v>
      </c>
      <c r="J436">
        <v>2</v>
      </c>
      <c r="K436">
        <v>1</v>
      </c>
      <c r="L436">
        <v>2</v>
      </c>
      <c r="M436">
        <v>3</v>
      </c>
    </row>
    <row r="437" spans="1:13">
      <c r="A437" t="s">
        <v>108</v>
      </c>
      <c r="B437" t="s">
        <v>2179</v>
      </c>
      <c r="C437" t="s">
        <v>182</v>
      </c>
      <c r="D437" t="s">
        <v>99</v>
      </c>
      <c r="E437" s="217">
        <v>2.4568019E-2</v>
      </c>
      <c r="F437">
        <v>1</v>
      </c>
      <c r="G437" t="s">
        <v>2051</v>
      </c>
      <c r="I437">
        <v>1</v>
      </c>
      <c r="J437">
        <v>2</v>
      </c>
      <c r="K437">
        <v>1</v>
      </c>
      <c r="L437">
        <v>2</v>
      </c>
      <c r="M437">
        <v>3</v>
      </c>
    </row>
    <row r="438" spans="1:13">
      <c r="A438" t="s">
        <v>108</v>
      </c>
      <c r="B438" t="s">
        <v>2179</v>
      </c>
      <c r="C438" t="s">
        <v>182</v>
      </c>
      <c r="D438" t="s">
        <v>98</v>
      </c>
      <c r="E438" s="217">
        <v>1.8026413000000002E-2</v>
      </c>
      <c r="F438">
        <v>1</v>
      </c>
      <c r="G438" t="s">
        <v>2051</v>
      </c>
      <c r="I438">
        <v>1</v>
      </c>
      <c r="J438">
        <v>2</v>
      </c>
      <c r="K438">
        <v>1</v>
      </c>
      <c r="L438">
        <v>2</v>
      </c>
      <c r="M438">
        <v>3</v>
      </c>
    </row>
    <row r="439" spans="1:13">
      <c r="A439" t="s">
        <v>108</v>
      </c>
      <c r="B439" t="s">
        <v>2179</v>
      </c>
      <c r="C439" t="s">
        <v>182</v>
      </c>
      <c r="D439" t="s">
        <v>95</v>
      </c>
      <c r="E439" s="217">
        <v>5.0338750000000002E-2</v>
      </c>
      <c r="F439">
        <v>1</v>
      </c>
      <c r="G439" t="s">
        <v>2051</v>
      </c>
      <c r="I439">
        <v>1</v>
      </c>
      <c r="J439">
        <v>2</v>
      </c>
      <c r="K439">
        <v>1</v>
      </c>
      <c r="L439">
        <v>2</v>
      </c>
      <c r="M439">
        <v>3</v>
      </c>
    </row>
    <row r="440" spans="1:13">
      <c r="A440" t="s">
        <v>108</v>
      </c>
      <c r="B440" t="s">
        <v>2179</v>
      </c>
      <c r="C440" t="s">
        <v>182</v>
      </c>
      <c r="D440" t="s">
        <v>91</v>
      </c>
      <c r="E440" s="217">
        <v>7.0447210000000003E-3</v>
      </c>
      <c r="F440">
        <v>1</v>
      </c>
      <c r="G440" t="s">
        <v>2051</v>
      </c>
      <c r="I440">
        <v>1</v>
      </c>
      <c r="J440">
        <v>2</v>
      </c>
      <c r="K440">
        <v>1</v>
      </c>
      <c r="L440">
        <v>2</v>
      </c>
      <c r="M440">
        <v>3</v>
      </c>
    </row>
    <row r="441" spans="1:13">
      <c r="A441" t="s">
        <v>108</v>
      </c>
      <c r="B441" t="s">
        <v>2054</v>
      </c>
      <c r="C441" t="s">
        <v>182</v>
      </c>
      <c r="D441" t="s">
        <v>98</v>
      </c>
      <c r="E441" s="217">
        <v>0.32495332500000002</v>
      </c>
      <c r="F441">
        <v>1</v>
      </c>
      <c r="G441" t="s">
        <v>2051</v>
      </c>
      <c r="I441">
        <v>1</v>
      </c>
      <c r="J441">
        <v>2</v>
      </c>
      <c r="K441">
        <v>1</v>
      </c>
      <c r="L441">
        <v>2</v>
      </c>
      <c r="M441">
        <v>3</v>
      </c>
    </row>
    <row r="442" spans="1:13">
      <c r="A442" t="s">
        <v>108</v>
      </c>
      <c r="B442" t="s">
        <v>2054</v>
      </c>
      <c r="C442" t="s">
        <v>182</v>
      </c>
      <c r="D442" t="s">
        <v>95</v>
      </c>
      <c r="E442" s="217">
        <v>0</v>
      </c>
      <c r="F442">
        <v>1</v>
      </c>
      <c r="G442" t="s">
        <v>2051</v>
      </c>
      <c r="I442">
        <v>1</v>
      </c>
      <c r="J442">
        <v>2</v>
      </c>
      <c r="K442">
        <v>1</v>
      </c>
      <c r="L442">
        <v>2</v>
      </c>
      <c r="M442">
        <v>3</v>
      </c>
    </row>
    <row r="443" spans="1:13">
      <c r="A443" t="s">
        <v>108</v>
      </c>
      <c r="B443" t="s">
        <v>2054</v>
      </c>
      <c r="C443" t="s">
        <v>182</v>
      </c>
      <c r="D443" t="s">
        <v>91</v>
      </c>
      <c r="E443" s="217">
        <v>6.4915909999999997E-3</v>
      </c>
      <c r="F443">
        <v>1</v>
      </c>
      <c r="G443" t="s">
        <v>2051</v>
      </c>
      <c r="I443">
        <v>1</v>
      </c>
      <c r="J443">
        <v>2</v>
      </c>
      <c r="K443">
        <v>1</v>
      </c>
      <c r="L443">
        <v>2</v>
      </c>
      <c r="M443">
        <v>3</v>
      </c>
    </row>
    <row r="444" spans="1:13">
      <c r="A444" t="s">
        <v>108</v>
      </c>
      <c r="B444" t="s">
        <v>2054</v>
      </c>
      <c r="C444" t="s">
        <v>182</v>
      </c>
      <c r="D444" t="s">
        <v>93</v>
      </c>
      <c r="E444" s="217">
        <v>0.121200023</v>
      </c>
      <c r="F444">
        <v>1</v>
      </c>
      <c r="G444" t="s">
        <v>2051</v>
      </c>
      <c r="I444">
        <v>1</v>
      </c>
      <c r="J444">
        <v>2</v>
      </c>
      <c r="K444">
        <v>1</v>
      </c>
      <c r="L444">
        <v>2</v>
      </c>
      <c r="M444">
        <v>3</v>
      </c>
    </row>
    <row r="445" spans="1:13">
      <c r="A445" t="s">
        <v>108</v>
      </c>
      <c r="B445" t="s">
        <v>2054</v>
      </c>
      <c r="C445" t="s">
        <v>182</v>
      </c>
      <c r="D445" t="s">
        <v>90</v>
      </c>
      <c r="E445" s="217">
        <v>0.14281593000000001</v>
      </c>
      <c r="F445">
        <v>1</v>
      </c>
      <c r="G445" t="s">
        <v>2051</v>
      </c>
      <c r="I445">
        <v>1</v>
      </c>
      <c r="J445">
        <v>2</v>
      </c>
      <c r="K445">
        <v>1</v>
      </c>
      <c r="L445">
        <v>2</v>
      </c>
      <c r="M445">
        <v>3</v>
      </c>
    </row>
    <row r="446" spans="1:13">
      <c r="A446" t="s">
        <v>108</v>
      </c>
      <c r="B446" t="s">
        <v>2054</v>
      </c>
      <c r="C446" t="s">
        <v>182</v>
      </c>
      <c r="D446" t="s">
        <v>92</v>
      </c>
      <c r="E446" s="217">
        <v>0.237431854</v>
      </c>
      <c r="F446">
        <v>1</v>
      </c>
      <c r="G446" t="s">
        <v>2051</v>
      </c>
      <c r="I446">
        <v>1</v>
      </c>
      <c r="J446">
        <v>2</v>
      </c>
      <c r="K446">
        <v>1</v>
      </c>
      <c r="L446">
        <v>2</v>
      </c>
      <c r="M446">
        <v>3</v>
      </c>
    </row>
    <row r="447" spans="1:13">
      <c r="A447" t="s">
        <v>108</v>
      </c>
      <c r="B447" t="s">
        <v>2180</v>
      </c>
      <c r="C447" t="s">
        <v>182</v>
      </c>
      <c r="D447" t="s">
        <v>99</v>
      </c>
      <c r="E447" s="217">
        <v>0</v>
      </c>
      <c r="F447">
        <v>1</v>
      </c>
      <c r="G447" t="s">
        <v>2051</v>
      </c>
      <c r="I447">
        <v>1</v>
      </c>
      <c r="J447">
        <v>2</v>
      </c>
      <c r="K447">
        <v>1</v>
      </c>
      <c r="L447">
        <v>2</v>
      </c>
      <c r="M447">
        <v>3</v>
      </c>
    </row>
    <row r="448" spans="1:13">
      <c r="A448" t="s">
        <v>108</v>
      </c>
      <c r="B448" t="s">
        <v>2180</v>
      </c>
      <c r="C448" t="s">
        <v>182</v>
      </c>
      <c r="D448" t="s">
        <v>98</v>
      </c>
      <c r="E448" s="217">
        <v>0.198529969</v>
      </c>
      <c r="F448">
        <v>1</v>
      </c>
      <c r="G448" t="s">
        <v>2051</v>
      </c>
      <c r="I448">
        <v>1</v>
      </c>
      <c r="J448">
        <v>2</v>
      </c>
      <c r="K448">
        <v>1</v>
      </c>
      <c r="L448">
        <v>2</v>
      </c>
      <c r="M448">
        <v>3</v>
      </c>
    </row>
    <row r="449" spans="1:13">
      <c r="A449" t="s">
        <v>108</v>
      </c>
      <c r="B449" t="s">
        <v>2180</v>
      </c>
      <c r="C449" t="s">
        <v>182</v>
      </c>
      <c r="D449" t="s">
        <v>95</v>
      </c>
      <c r="E449" s="217">
        <v>0.259928045</v>
      </c>
      <c r="F449">
        <v>1</v>
      </c>
      <c r="G449" t="s">
        <v>2051</v>
      </c>
      <c r="I449">
        <v>1</v>
      </c>
      <c r="J449">
        <v>2</v>
      </c>
      <c r="K449">
        <v>1</v>
      </c>
      <c r="L449">
        <v>2</v>
      </c>
      <c r="M449">
        <v>3</v>
      </c>
    </row>
    <row r="450" spans="1:13">
      <c r="A450" t="s">
        <v>108</v>
      </c>
      <c r="B450" t="s">
        <v>2180</v>
      </c>
      <c r="C450" t="s">
        <v>182</v>
      </c>
      <c r="D450" t="s">
        <v>91</v>
      </c>
      <c r="E450" s="217">
        <v>0.264543421</v>
      </c>
      <c r="F450">
        <v>1</v>
      </c>
      <c r="G450" t="s">
        <v>2051</v>
      </c>
      <c r="I450">
        <v>1</v>
      </c>
      <c r="J450">
        <v>2</v>
      </c>
      <c r="K450">
        <v>1</v>
      </c>
      <c r="L450">
        <v>2</v>
      </c>
      <c r="M450">
        <v>3</v>
      </c>
    </row>
    <row r="451" spans="1:13">
      <c r="A451" t="s">
        <v>108</v>
      </c>
      <c r="B451" t="s">
        <v>2181</v>
      </c>
      <c r="C451" t="s">
        <v>182</v>
      </c>
      <c r="D451" t="s">
        <v>99</v>
      </c>
      <c r="E451" s="217">
        <v>0</v>
      </c>
      <c r="F451">
        <v>1</v>
      </c>
      <c r="G451" t="s">
        <v>2051</v>
      </c>
      <c r="I451">
        <v>1</v>
      </c>
      <c r="J451">
        <v>2</v>
      </c>
      <c r="K451">
        <v>1</v>
      </c>
      <c r="L451">
        <v>2</v>
      </c>
      <c r="M451">
        <v>3</v>
      </c>
    </row>
    <row r="452" spans="1:13">
      <c r="A452" t="s">
        <v>108</v>
      </c>
      <c r="B452" t="s">
        <v>2181</v>
      </c>
      <c r="C452" t="s">
        <v>182</v>
      </c>
      <c r="D452" t="s">
        <v>98</v>
      </c>
      <c r="E452" s="217">
        <v>2.3902979999999999E-3</v>
      </c>
      <c r="F452">
        <v>1</v>
      </c>
      <c r="G452" t="s">
        <v>2051</v>
      </c>
      <c r="I452">
        <v>1</v>
      </c>
      <c r="J452">
        <v>2</v>
      </c>
      <c r="K452">
        <v>1</v>
      </c>
      <c r="L452">
        <v>2</v>
      </c>
      <c r="M452">
        <v>3</v>
      </c>
    </row>
    <row r="453" spans="1:13">
      <c r="A453" t="s">
        <v>108</v>
      </c>
      <c r="B453" t="s">
        <v>2181</v>
      </c>
      <c r="C453" t="s">
        <v>182</v>
      </c>
      <c r="D453" t="s">
        <v>95</v>
      </c>
      <c r="E453" s="217">
        <v>0</v>
      </c>
      <c r="F453">
        <v>1</v>
      </c>
      <c r="G453" t="s">
        <v>2051</v>
      </c>
      <c r="I453">
        <v>1</v>
      </c>
      <c r="J453">
        <v>2</v>
      </c>
      <c r="K453">
        <v>1</v>
      </c>
      <c r="L453">
        <v>2</v>
      </c>
      <c r="M453">
        <v>3</v>
      </c>
    </row>
    <row r="454" spans="1:13">
      <c r="A454" t="s">
        <v>108</v>
      </c>
      <c r="B454" t="s">
        <v>2181</v>
      </c>
      <c r="C454" t="s">
        <v>182</v>
      </c>
      <c r="D454" t="s">
        <v>91</v>
      </c>
      <c r="E454" s="217">
        <v>4.0283916000000003E-2</v>
      </c>
      <c r="F454">
        <v>1</v>
      </c>
      <c r="G454" t="s">
        <v>2051</v>
      </c>
      <c r="I454">
        <v>1</v>
      </c>
      <c r="J454">
        <v>2</v>
      </c>
      <c r="K454">
        <v>1</v>
      </c>
      <c r="L454">
        <v>2</v>
      </c>
      <c r="M454">
        <v>3</v>
      </c>
    </row>
    <row r="455" spans="1:13">
      <c r="A455" t="s">
        <v>108</v>
      </c>
      <c r="B455" t="s">
        <v>2182</v>
      </c>
      <c r="C455" t="s">
        <v>182</v>
      </c>
      <c r="D455" t="s">
        <v>99</v>
      </c>
      <c r="E455" s="217">
        <v>0.25332756400000001</v>
      </c>
      <c r="F455">
        <v>1</v>
      </c>
      <c r="G455" t="s">
        <v>2051</v>
      </c>
      <c r="I455">
        <v>1</v>
      </c>
      <c r="J455">
        <v>2</v>
      </c>
      <c r="K455">
        <v>1</v>
      </c>
      <c r="L455">
        <v>2</v>
      </c>
      <c r="M455">
        <v>3</v>
      </c>
    </row>
    <row r="456" spans="1:13">
      <c r="A456" t="s">
        <v>108</v>
      </c>
      <c r="B456" t="s">
        <v>2182</v>
      </c>
      <c r="C456" t="s">
        <v>182</v>
      </c>
      <c r="D456" t="s">
        <v>98</v>
      </c>
      <c r="E456" s="217">
        <v>2.8701329000000001E-2</v>
      </c>
      <c r="F456">
        <v>1</v>
      </c>
      <c r="G456" t="s">
        <v>2051</v>
      </c>
      <c r="I456">
        <v>1</v>
      </c>
      <c r="J456">
        <v>2</v>
      </c>
      <c r="K456">
        <v>1</v>
      </c>
      <c r="L456">
        <v>2</v>
      </c>
      <c r="M456">
        <v>3</v>
      </c>
    </row>
    <row r="457" spans="1:13">
      <c r="A457" t="s">
        <v>108</v>
      </c>
      <c r="B457" t="s">
        <v>2182</v>
      </c>
      <c r="C457" t="s">
        <v>182</v>
      </c>
      <c r="D457" t="s">
        <v>95</v>
      </c>
      <c r="E457" s="217">
        <v>4.6882533999999997E-2</v>
      </c>
      <c r="F457">
        <v>1</v>
      </c>
      <c r="G457" t="s">
        <v>2051</v>
      </c>
      <c r="I457">
        <v>1</v>
      </c>
      <c r="J457">
        <v>2</v>
      </c>
      <c r="K457">
        <v>1</v>
      </c>
      <c r="L457">
        <v>2</v>
      </c>
      <c r="M457">
        <v>3</v>
      </c>
    </row>
    <row r="458" spans="1:13">
      <c r="A458" t="s">
        <v>108</v>
      </c>
      <c r="B458" t="s">
        <v>2182</v>
      </c>
      <c r="C458" t="s">
        <v>182</v>
      </c>
      <c r="D458" t="s">
        <v>91</v>
      </c>
      <c r="E458" s="217">
        <v>0.13012547999999999</v>
      </c>
      <c r="F458">
        <v>1</v>
      </c>
      <c r="G458" t="s">
        <v>2051</v>
      </c>
      <c r="I458">
        <v>1</v>
      </c>
      <c r="J458">
        <v>2</v>
      </c>
      <c r="K458">
        <v>1</v>
      </c>
      <c r="L458">
        <v>2</v>
      </c>
      <c r="M458">
        <v>3</v>
      </c>
    </row>
    <row r="459" spans="1:13">
      <c r="A459" t="s">
        <v>108</v>
      </c>
      <c r="B459" t="s">
        <v>2055</v>
      </c>
      <c r="C459" t="s">
        <v>182</v>
      </c>
      <c r="D459" t="s">
        <v>99</v>
      </c>
      <c r="E459" s="217">
        <v>0</v>
      </c>
      <c r="F459">
        <v>1</v>
      </c>
      <c r="G459" t="s">
        <v>2051</v>
      </c>
      <c r="I459">
        <v>1</v>
      </c>
      <c r="J459">
        <v>2</v>
      </c>
      <c r="K459">
        <v>1</v>
      </c>
      <c r="L459">
        <v>2</v>
      </c>
      <c r="M459">
        <v>3</v>
      </c>
    </row>
    <row r="460" spans="1:13">
      <c r="A460" t="s">
        <v>108</v>
      </c>
      <c r="B460" t="s">
        <v>2055</v>
      </c>
      <c r="C460" t="s">
        <v>182</v>
      </c>
      <c r="D460" t="s">
        <v>98</v>
      </c>
      <c r="E460" s="217">
        <v>8.3290819999999998E-3</v>
      </c>
      <c r="F460">
        <v>1</v>
      </c>
      <c r="G460" t="s">
        <v>2051</v>
      </c>
      <c r="I460">
        <v>1</v>
      </c>
      <c r="J460">
        <v>2</v>
      </c>
      <c r="K460">
        <v>1</v>
      </c>
      <c r="L460">
        <v>2</v>
      </c>
      <c r="M460">
        <v>3</v>
      </c>
    </row>
    <row r="461" spans="1:13">
      <c r="A461" t="s">
        <v>108</v>
      </c>
      <c r="B461" t="s">
        <v>2055</v>
      </c>
      <c r="C461" t="s">
        <v>182</v>
      </c>
      <c r="D461" t="s">
        <v>95</v>
      </c>
      <c r="E461" s="217">
        <v>3.7985432999999999E-2</v>
      </c>
      <c r="F461">
        <v>1</v>
      </c>
      <c r="G461" t="s">
        <v>2051</v>
      </c>
      <c r="I461">
        <v>1</v>
      </c>
      <c r="J461">
        <v>2</v>
      </c>
      <c r="K461">
        <v>1</v>
      </c>
      <c r="L461">
        <v>2</v>
      </c>
      <c r="M461">
        <v>3</v>
      </c>
    </row>
    <row r="462" spans="1:13">
      <c r="A462" t="s">
        <v>108</v>
      </c>
      <c r="B462" t="s">
        <v>2055</v>
      </c>
      <c r="C462" t="s">
        <v>182</v>
      </c>
      <c r="D462" t="s">
        <v>91</v>
      </c>
      <c r="E462" s="217">
        <v>6.1527869999999998E-3</v>
      </c>
      <c r="F462">
        <v>1</v>
      </c>
      <c r="G462" t="s">
        <v>2051</v>
      </c>
      <c r="I462">
        <v>1</v>
      </c>
      <c r="J462">
        <v>2</v>
      </c>
      <c r="K462">
        <v>1</v>
      </c>
      <c r="L462">
        <v>2</v>
      </c>
      <c r="M462">
        <v>3</v>
      </c>
    </row>
    <row r="463" spans="1:13">
      <c r="A463" t="s">
        <v>108</v>
      </c>
      <c r="B463" t="s">
        <v>2056</v>
      </c>
      <c r="C463" t="s">
        <v>182</v>
      </c>
      <c r="D463" t="s">
        <v>99</v>
      </c>
      <c r="E463" s="217">
        <v>0</v>
      </c>
      <c r="F463">
        <v>1</v>
      </c>
      <c r="G463" t="s">
        <v>2051</v>
      </c>
      <c r="I463">
        <v>1</v>
      </c>
      <c r="J463">
        <v>2</v>
      </c>
      <c r="K463">
        <v>1</v>
      </c>
      <c r="L463">
        <v>2</v>
      </c>
      <c r="M463">
        <v>3</v>
      </c>
    </row>
    <row r="464" spans="1:13">
      <c r="A464" t="s">
        <v>108</v>
      </c>
      <c r="B464" t="s">
        <v>2056</v>
      </c>
      <c r="C464" t="s">
        <v>182</v>
      </c>
      <c r="D464" t="s">
        <v>98</v>
      </c>
      <c r="E464" s="217">
        <v>4.1074070000000004E-3</v>
      </c>
      <c r="F464">
        <v>1</v>
      </c>
      <c r="G464" t="s">
        <v>2051</v>
      </c>
      <c r="I464">
        <v>1</v>
      </c>
      <c r="J464">
        <v>2</v>
      </c>
      <c r="K464">
        <v>1</v>
      </c>
      <c r="L464">
        <v>2</v>
      </c>
      <c r="M464">
        <v>3</v>
      </c>
    </row>
    <row r="465" spans="1:15">
      <c r="A465" t="s">
        <v>108</v>
      </c>
      <c r="B465" t="s">
        <v>2056</v>
      </c>
      <c r="C465" t="s">
        <v>182</v>
      </c>
      <c r="D465" t="s">
        <v>95</v>
      </c>
      <c r="E465" s="217">
        <v>0</v>
      </c>
      <c r="F465">
        <v>1</v>
      </c>
      <c r="G465" t="s">
        <v>2051</v>
      </c>
      <c r="I465">
        <v>1</v>
      </c>
      <c r="J465">
        <v>2</v>
      </c>
      <c r="K465">
        <v>1</v>
      </c>
      <c r="L465">
        <v>2</v>
      </c>
      <c r="M465">
        <v>3</v>
      </c>
    </row>
    <row r="466" spans="1:15">
      <c r="A466" t="s">
        <v>108</v>
      </c>
      <c r="B466" t="s">
        <v>2056</v>
      </c>
      <c r="C466" t="s">
        <v>182</v>
      </c>
      <c r="D466" t="s">
        <v>91</v>
      </c>
      <c r="E466" s="217">
        <v>7.0343419000000004E-2</v>
      </c>
      <c r="F466">
        <v>1</v>
      </c>
      <c r="G466" t="s">
        <v>2051</v>
      </c>
      <c r="I466">
        <v>1</v>
      </c>
      <c r="J466">
        <v>2</v>
      </c>
      <c r="K466">
        <v>1</v>
      </c>
      <c r="L466">
        <v>2</v>
      </c>
      <c r="M466">
        <v>3</v>
      </c>
    </row>
    <row r="467" spans="1:15">
      <c r="A467" t="s">
        <v>108</v>
      </c>
      <c r="B467" t="s">
        <v>2057</v>
      </c>
      <c r="C467" t="s">
        <v>182</v>
      </c>
      <c r="D467" t="s">
        <v>99</v>
      </c>
      <c r="E467" s="217">
        <v>0</v>
      </c>
      <c r="F467">
        <v>1</v>
      </c>
      <c r="G467" t="s">
        <v>2051</v>
      </c>
      <c r="I467">
        <v>1</v>
      </c>
      <c r="J467">
        <v>2</v>
      </c>
      <c r="K467">
        <v>1</v>
      </c>
      <c r="L467">
        <v>2</v>
      </c>
      <c r="M467">
        <v>3</v>
      </c>
    </row>
    <row r="468" spans="1:15">
      <c r="A468" t="s">
        <v>108</v>
      </c>
      <c r="B468" t="s">
        <v>2057</v>
      </c>
      <c r="C468" t="s">
        <v>182</v>
      </c>
      <c r="D468" t="s">
        <v>98</v>
      </c>
      <c r="E468" s="217">
        <v>7.9507029000000007E-2</v>
      </c>
      <c r="F468">
        <v>1</v>
      </c>
      <c r="G468" t="s">
        <v>2051</v>
      </c>
      <c r="I468">
        <v>1</v>
      </c>
      <c r="J468">
        <v>2</v>
      </c>
      <c r="K468">
        <v>1</v>
      </c>
      <c r="L468">
        <v>2</v>
      </c>
      <c r="M468">
        <v>3</v>
      </c>
    </row>
    <row r="469" spans="1:15">
      <c r="A469" t="s">
        <v>108</v>
      </c>
      <c r="B469" t="s">
        <v>2057</v>
      </c>
      <c r="C469" t="s">
        <v>182</v>
      </c>
      <c r="D469" t="s">
        <v>95</v>
      </c>
      <c r="E469" s="217">
        <v>0.109237894</v>
      </c>
      <c r="F469">
        <v>1</v>
      </c>
      <c r="G469" t="s">
        <v>2051</v>
      </c>
      <c r="I469">
        <v>1</v>
      </c>
      <c r="J469">
        <v>2</v>
      </c>
      <c r="K469">
        <v>1</v>
      </c>
      <c r="L469">
        <v>2</v>
      </c>
      <c r="M469">
        <v>3</v>
      </c>
    </row>
    <row r="470" spans="1:15">
      <c r="A470" t="s">
        <v>108</v>
      </c>
      <c r="B470" t="s">
        <v>2057</v>
      </c>
      <c r="C470" t="s">
        <v>182</v>
      </c>
      <c r="D470" t="s">
        <v>91</v>
      </c>
      <c r="E470" s="217">
        <v>9.9046810000000002E-3</v>
      </c>
      <c r="F470">
        <v>1</v>
      </c>
      <c r="G470" t="s">
        <v>2051</v>
      </c>
      <c r="I470">
        <v>1</v>
      </c>
      <c r="J470">
        <v>2</v>
      </c>
      <c r="K470">
        <v>1</v>
      </c>
      <c r="L470">
        <v>2</v>
      </c>
      <c r="M470">
        <v>3</v>
      </c>
    </row>
    <row r="472" spans="1:15" s="918" customFormat="1">
      <c r="A472" s="409" t="s">
        <v>2154</v>
      </c>
    </row>
    <row r="473" spans="1:15">
      <c r="A473" t="s">
        <v>2039</v>
      </c>
      <c r="B473" t="s">
        <v>108</v>
      </c>
      <c r="C473" t="s">
        <v>139</v>
      </c>
      <c r="D473" t="s">
        <v>139</v>
      </c>
      <c r="E473" s="217">
        <v>1</v>
      </c>
      <c r="F473">
        <v>1</v>
      </c>
      <c r="G473" t="s">
        <v>157</v>
      </c>
      <c r="I473">
        <v>0</v>
      </c>
      <c r="J473">
        <v>0</v>
      </c>
      <c r="K473">
        <v>0</v>
      </c>
      <c r="L473">
        <v>0</v>
      </c>
      <c r="M473">
        <v>0</v>
      </c>
      <c r="N473" t="s">
        <v>249</v>
      </c>
      <c r="O473" t="s">
        <v>249</v>
      </c>
    </row>
    <row r="474" spans="1:15">
      <c r="A474" t="s">
        <v>2042</v>
      </c>
      <c r="B474" t="s">
        <v>108</v>
      </c>
      <c r="C474" t="s">
        <v>139</v>
      </c>
      <c r="D474" t="s">
        <v>139</v>
      </c>
      <c r="E474" s="217">
        <v>1</v>
      </c>
      <c r="F474">
        <v>1</v>
      </c>
      <c r="G474" t="s">
        <v>157</v>
      </c>
      <c r="I474">
        <v>0</v>
      </c>
      <c r="J474">
        <v>0</v>
      </c>
      <c r="K474">
        <v>0</v>
      </c>
      <c r="L474">
        <v>0</v>
      </c>
      <c r="M474">
        <v>0</v>
      </c>
      <c r="N474" t="s">
        <v>249</v>
      </c>
      <c r="O474" t="s">
        <v>249</v>
      </c>
    </row>
    <row r="475" spans="1:15">
      <c r="A475" t="s">
        <v>2155</v>
      </c>
      <c r="B475" t="s">
        <v>108</v>
      </c>
      <c r="C475" t="s">
        <v>139</v>
      </c>
      <c r="D475" t="s">
        <v>139</v>
      </c>
      <c r="E475" s="217" t="s">
        <v>150</v>
      </c>
      <c r="F475">
        <v>1</v>
      </c>
    </row>
    <row r="476" spans="1:15">
      <c r="A476" t="s">
        <v>2155</v>
      </c>
      <c r="B476" t="s">
        <v>413</v>
      </c>
      <c r="C476" t="s">
        <v>139</v>
      </c>
      <c r="D476" t="s">
        <v>139</v>
      </c>
      <c r="E476" s="217">
        <f>B11+B12+B13+B14</f>
        <v>0.21550000000000002</v>
      </c>
      <c r="F476">
        <v>2</v>
      </c>
      <c r="G476" t="s">
        <v>2156</v>
      </c>
      <c r="H476">
        <v>2</v>
      </c>
      <c r="I476">
        <v>2</v>
      </c>
      <c r="J476">
        <v>2</v>
      </c>
      <c r="K476">
        <v>3</v>
      </c>
      <c r="L476">
        <v>2</v>
      </c>
      <c r="M476">
        <v>1</v>
      </c>
    </row>
    <row r="477" spans="1:15">
      <c r="A477" t="s">
        <v>2155</v>
      </c>
      <c r="B477" t="s">
        <v>413</v>
      </c>
      <c r="C477" t="s">
        <v>139</v>
      </c>
      <c r="D477" t="s">
        <v>139</v>
      </c>
      <c r="E477" s="217">
        <f>B10+B12+B13+B14</f>
        <v>0.20610000000000001</v>
      </c>
      <c r="F477">
        <v>2</v>
      </c>
      <c r="G477" t="s">
        <v>2157</v>
      </c>
      <c r="H477">
        <v>2</v>
      </c>
      <c r="I477">
        <v>2</v>
      </c>
      <c r="J477">
        <v>2</v>
      </c>
      <c r="K477">
        <v>3</v>
      </c>
      <c r="L477">
        <v>2</v>
      </c>
      <c r="M477">
        <v>1</v>
      </c>
    </row>
    <row r="478" spans="1:15">
      <c r="A478" t="s">
        <v>2161</v>
      </c>
      <c r="B478" t="s">
        <v>2155</v>
      </c>
      <c r="C478" t="s">
        <v>139</v>
      </c>
      <c r="D478" t="s">
        <v>139</v>
      </c>
      <c r="E478" s="217">
        <v>1</v>
      </c>
      <c r="F478">
        <v>1</v>
      </c>
      <c r="G478" t="s">
        <v>157</v>
      </c>
      <c r="I478">
        <v>0</v>
      </c>
      <c r="J478">
        <v>0</v>
      </c>
      <c r="K478">
        <v>0</v>
      </c>
      <c r="L478">
        <v>0</v>
      </c>
      <c r="M478">
        <v>0</v>
      </c>
    </row>
    <row r="479" spans="1:15">
      <c r="A479" t="s">
        <v>2160</v>
      </c>
      <c r="B479" t="s">
        <v>2155</v>
      </c>
      <c r="C479" t="s">
        <v>139</v>
      </c>
      <c r="D479" t="s">
        <v>139</v>
      </c>
      <c r="E479" s="217">
        <v>1</v>
      </c>
      <c r="F479">
        <v>1</v>
      </c>
      <c r="G479" t="s">
        <v>157</v>
      </c>
      <c r="I479">
        <v>0</v>
      </c>
      <c r="J479">
        <v>0</v>
      </c>
      <c r="K479">
        <v>0</v>
      </c>
      <c r="L479">
        <v>0</v>
      </c>
      <c r="M479">
        <v>0</v>
      </c>
    </row>
    <row r="480" spans="1:15" s="1065" customFormat="1">
      <c r="A480" s="1065" t="s">
        <v>2330</v>
      </c>
    </row>
    <row r="481" spans="1:13" s="1065" customFormat="1">
      <c r="A481" s="1072"/>
      <c r="B481" s="1072"/>
      <c r="C481" s="1072"/>
      <c r="D481" s="1072"/>
      <c r="E481" s="1072"/>
      <c r="F481" s="1072"/>
      <c r="G481" s="1072"/>
      <c r="H481" s="1072"/>
      <c r="I481" s="1072"/>
      <c r="J481" s="1072"/>
      <c r="K481" s="1072"/>
      <c r="L481" s="1072"/>
      <c r="M481" s="1072"/>
    </row>
    <row r="482" spans="1:13" s="645" customFormat="1">
      <c r="A482" s="645" t="s">
        <v>2295</v>
      </c>
    </row>
    <row r="483" spans="1:13">
      <c r="A483" t="s">
        <v>2050</v>
      </c>
      <c r="B483" t="str">
        <f>'Clothing calculations'!B102</f>
        <v>Clothing not washed (in use)</v>
      </c>
      <c r="C483" t="str">
        <f>'Clothing calculations'!C102</f>
        <v>any</v>
      </c>
      <c r="D483" t="str">
        <f>'Clothing calculations'!D102</f>
        <v>any</v>
      </c>
      <c r="E483">
        <f>'Clothing calculations'!E102</f>
        <v>3.0249999999999999E-3</v>
      </c>
      <c r="F483">
        <f>'Clothing calculations'!F102</f>
        <v>2</v>
      </c>
      <c r="G483" t="str">
        <f>'Clothing calculations'!G102</f>
        <v>Average loss during wear, Kawecki et al. 2019, SI table 17</v>
      </c>
      <c r="H483">
        <f>'Clothing calculations'!H102</f>
        <v>2</v>
      </c>
      <c r="I483">
        <f>'Clothing calculations'!I102</f>
        <v>2</v>
      </c>
      <c r="J483">
        <f>'Clothing calculations'!J102</f>
        <v>2</v>
      </c>
      <c r="K483">
        <f>'Clothing calculations'!K102</f>
        <v>2</v>
      </c>
      <c r="L483">
        <f>'Clothing calculations'!L102</f>
        <v>2</v>
      </c>
      <c r="M483">
        <f>'Clothing calculations'!M102</f>
        <v>2</v>
      </c>
    </row>
    <row r="484" spans="1:13">
      <c r="A484" t="s">
        <v>2050</v>
      </c>
      <c r="B484" t="str">
        <f>'Clothing calculations'!B103</f>
        <v>Clothing not washed (discarded)</v>
      </c>
      <c r="C484" t="str">
        <f>'Clothing calculations'!C103</f>
        <v>any</v>
      </c>
      <c r="D484" t="str">
        <f>'Clothing calculations'!D103</f>
        <v>any</v>
      </c>
      <c r="E484" t="str">
        <f>'Clothing calculations'!E103</f>
        <v>rest</v>
      </c>
      <c r="F484">
        <f>'Clothing calculations'!F103</f>
        <v>1</v>
      </c>
    </row>
    <row r="485" spans="1:13">
      <c r="A485" t="s">
        <v>2178</v>
      </c>
      <c r="B485" t="str">
        <f>'Clothing calculations'!B85</f>
        <v>Clothing rarely washed (in use)</v>
      </c>
      <c r="C485" t="str">
        <f>'Clothing calculations'!C85</f>
        <v>any</v>
      </c>
      <c r="D485" t="str">
        <f>'Clothing calculations'!D85</f>
        <v>any</v>
      </c>
      <c r="E485">
        <f>'Clothing calculations'!E85</f>
        <v>3.3880970500000003E-3</v>
      </c>
      <c r="F485">
        <f>'Clothing calculations'!F85</f>
        <v>2</v>
      </c>
      <c r="G485" t="str">
        <f>'Clothing calculations'!G85</f>
        <v>Computed from wearing, washing, drying TCs</v>
      </c>
      <c r="H485">
        <f>'Clothing calculations'!H85</f>
        <v>2</v>
      </c>
      <c r="I485">
        <f>'Clothing calculations'!I85</f>
        <v>2</v>
      </c>
      <c r="J485">
        <f>'Clothing calculations'!J85</f>
        <v>2</v>
      </c>
      <c r="K485">
        <f>'Clothing calculations'!K85</f>
        <v>2</v>
      </c>
      <c r="L485">
        <f>'Clothing calculations'!L85</f>
        <v>2</v>
      </c>
      <c r="M485">
        <f>'Clothing calculations'!M85</f>
        <v>2</v>
      </c>
    </row>
    <row r="486" spans="1:13">
      <c r="A486" t="s">
        <v>2178</v>
      </c>
      <c r="B486" t="str">
        <f>'Clothing calculations'!B86</f>
        <v>Clothing rarely washed (discarded)</v>
      </c>
      <c r="C486" t="str">
        <f>'Clothing calculations'!C86</f>
        <v>any</v>
      </c>
      <c r="D486" t="str">
        <f>'Clothing calculations'!D86</f>
        <v>any</v>
      </c>
      <c r="E486" t="str">
        <f>'Clothing calculations'!E86</f>
        <v>rest</v>
      </c>
      <c r="F486">
        <f>'Clothing calculations'!F86</f>
        <v>1</v>
      </c>
    </row>
    <row r="487" spans="1:13">
      <c r="A487" t="s">
        <v>2177</v>
      </c>
      <c r="B487" t="str">
        <f>'Clothing calculations'!B66</f>
        <v>Clothing washed (in use)</v>
      </c>
      <c r="C487" t="str">
        <f>'Clothing calculations'!C66</f>
        <v>any</v>
      </c>
      <c r="D487" t="str">
        <f>'Clothing calculations'!D66</f>
        <v>any</v>
      </c>
      <c r="E487">
        <f>'Clothing calculations'!E66</f>
        <v>1.3554814450000001E-2</v>
      </c>
      <c r="F487">
        <f>'Clothing calculations'!F66</f>
        <v>2</v>
      </c>
      <c r="G487" t="str">
        <f>'Clothing calculations'!G66</f>
        <v>Computed from wearing, washing, drying TCs</v>
      </c>
      <c r="H487">
        <f>'Clothing calculations'!H66</f>
        <v>2</v>
      </c>
      <c r="I487">
        <f>'Clothing calculations'!I66</f>
        <v>2</v>
      </c>
      <c r="J487">
        <f>'Clothing calculations'!J66</f>
        <v>2</v>
      </c>
      <c r="K487">
        <f>'Clothing calculations'!K66</f>
        <v>2</v>
      </c>
      <c r="L487">
        <f>'Clothing calculations'!L66</f>
        <v>2</v>
      </c>
      <c r="M487">
        <f>'Clothing calculations'!M66</f>
        <v>2</v>
      </c>
    </row>
    <row r="488" spans="1:13">
      <c r="A488" t="s">
        <v>2177</v>
      </c>
      <c r="B488" t="str">
        <f>'Clothing calculations'!B67</f>
        <v>Clothing washed (discarded)</v>
      </c>
      <c r="C488" t="str">
        <f>'Clothing calculations'!C67</f>
        <v>any</v>
      </c>
      <c r="D488" t="str">
        <f>'Clothing calculations'!D67</f>
        <v>any</v>
      </c>
      <c r="E488" t="str">
        <f>'Clothing calculations'!E67</f>
        <v>rest</v>
      </c>
      <c r="F488">
        <f>'Clothing calculations'!F67</f>
        <v>1</v>
      </c>
    </row>
    <row r="489" spans="1:13">
      <c r="A489" t="s">
        <v>2179</v>
      </c>
      <c r="B489" t="str">
        <f>'Clothing calculations'!B66</f>
        <v>Clothing washed (in use)</v>
      </c>
      <c r="C489" t="str">
        <f>'Clothing calculations'!C66</f>
        <v>any</v>
      </c>
      <c r="D489" t="str">
        <f>'Clothing calculations'!D66</f>
        <v>any</v>
      </c>
      <c r="E489">
        <f>'Clothing calculations'!E66</f>
        <v>1.3554814450000001E-2</v>
      </c>
      <c r="F489">
        <f>'Clothing calculations'!F66</f>
        <v>2</v>
      </c>
      <c r="G489" t="str">
        <f>'Clothing calculations'!G66</f>
        <v>Computed from wearing, washing, drying TCs</v>
      </c>
      <c r="H489">
        <f>'Clothing calculations'!H66</f>
        <v>2</v>
      </c>
      <c r="I489">
        <f>'Clothing calculations'!I66</f>
        <v>2</v>
      </c>
      <c r="J489">
        <f>'Clothing calculations'!J66</f>
        <v>2</v>
      </c>
      <c r="K489">
        <f>'Clothing calculations'!K66</f>
        <v>2</v>
      </c>
      <c r="L489">
        <f>'Clothing calculations'!L66</f>
        <v>2</v>
      </c>
      <c r="M489">
        <f>'Clothing calculations'!M66</f>
        <v>2</v>
      </c>
    </row>
    <row r="490" spans="1:13">
      <c r="A490" t="s">
        <v>2179</v>
      </c>
      <c r="B490" t="str">
        <f>'Clothing calculations'!B67</f>
        <v>Clothing washed (discarded)</v>
      </c>
      <c r="C490" t="str">
        <f>'Clothing calculations'!C67</f>
        <v>any</v>
      </c>
      <c r="D490" t="str">
        <f>'Clothing calculations'!D67</f>
        <v>any</v>
      </c>
      <c r="E490" t="str">
        <f>'Clothing calculations'!E67</f>
        <v>rest</v>
      </c>
      <c r="F490">
        <f>'Clothing calculations'!F67</f>
        <v>1</v>
      </c>
    </row>
    <row r="491" spans="1:13">
      <c r="A491" t="s">
        <v>2180</v>
      </c>
      <c r="B491" t="str">
        <f>'Clothing calculations'!B66</f>
        <v>Clothing washed (in use)</v>
      </c>
      <c r="C491" t="str">
        <f>'Clothing calculations'!C66</f>
        <v>any</v>
      </c>
      <c r="D491" t="str">
        <f>'Clothing calculations'!D66</f>
        <v>any</v>
      </c>
      <c r="E491">
        <f>'Clothing calculations'!E66</f>
        <v>1.3554814450000001E-2</v>
      </c>
      <c r="F491">
        <f>'Clothing calculations'!F66</f>
        <v>2</v>
      </c>
      <c r="G491" t="str">
        <f>'Clothing calculations'!G66</f>
        <v>Computed from wearing, washing, drying TCs</v>
      </c>
      <c r="H491">
        <f>'Clothing calculations'!H66</f>
        <v>2</v>
      </c>
      <c r="I491">
        <f>'Clothing calculations'!I66</f>
        <v>2</v>
      </c>
      <c r="J491">
        <f>'Clothing calculations'!J66</f>
        <v>2</v>
      </c>
      <c r="K491">
        <f>'Clothing calculations'!K66</f>
        <v>2</v>
      </c>
      <c r="L491">
        <f>'Clothing calculations'!L66</f>
        <v>2</v>
      </c>
      <c r="M491">
        <f>'Clothing calculations'!M66</f>
        <v>2</v>
      </c>
    </row>
    <row r="492" spans="1:13">
      <c r="A492" t="s">
        <v>2180</v>
      </c>
      <c r="B492" t="str">
        <f>'Clothing calculations'!B67</f>
        <v>Clothing washed (discarded)</v>
      </c>
      <c r="C492" t="str">
        <f>'Clothing calculations'!C67</f>
        <v>any</v>
      </c>
      <c r="D492" t="str">
        <f>'Clothing calculations'!D67</f>
        <v>any</v>
      </c>
      <c r="E492" t="str">
        <f>'Clothing calculations'!E67</f>
        <v>rest</v>
      </c>
      <c r="F492">
        <f>'Clothing calculations'!F67</f>
        <v>1</v>
      </c>
    </row>
    <row r="493" spans="1:13">
      <c r="A493" t="s">
        <v>2181</v>
      </c>
      <c r="B493" t="str">
        <f>'Clothing calculations'!B66</f>
        <v>Clothing washed (in use)</v>
      </c>
      <c r="C493" t="str">
        <f>'Clothing calculations'!C66</f>
        <v>any</v>
      </c>
      <c r="D493" t="str">
        <f>'Clothing calculations'!D66</f>
        <v>any</v>
      </c>
      <c r="E493">
        <f>'Clothing calculations'!E66</f>
        <v>1.3554814450000001E-2</v>
      </c>
      <c r="F493">
        <f>'Clothing calculations'!F66</f>
        <v>2</v>
      </c>
      <c r="G493" t="str">
        <f>'Clothing calculations'!G66</f>
        <v>Computed from wearing, washing, drying TCs</v>
      </c>
      <c r="H493">
        <f>'Clothing calculations'!H66</f>
        <v>2</v>
      </c>
      <c r="I493">
        <f>'Clothing calculations'!I66</f>
        <v>2</v>
      </c>
      <c r="J493">
        <f>'Clothing calculations'!J66</f>
        <v>2</v>
      </c>
      <c r="K493">
        <f>'Clothing calculations'!K66</f>
        <v>2</v>
      </c>
      <c r="L493">
        <f>'Clothing calculations'!L66</f>
        <v>2</v>
      </c>
      <c r="M493">
        <f>'Clothing calculations'!M66</f>
        <v>2</v>
      </c>
    </row>
    <row r="494" spans="1:13">
      <c r="A494" t="s">
        <v>2181</v>
      </c>
      <c r="B494" t="str">
        <f>'Clothing calculations'!B67</f>
        <v>Clothing washed (discarded)</v>
      </c>
      <c r="C494" t="str">
        <f>'Clothing calculations'!C67</f>
        <v>any</v>
      </c>
      <c r="D494" t="str">
        <f>'Clothing calculations'!D67</f>
        <v>any</v>
      </c>
      <c r="E494" t="str">
        <f>'Clothing calculations'!E67</f>
        <v>rest</v>
      </c>
      <c r="F494">
        <f>'Clothing calculations'!F67</f>
        <v>1</v>
      </c>
    </row>
    <row r="495" spans="1:13">
      <c r="A495" t="s">
        <v>2182</v>
      </c>
      <c r="B495" t="str">
        <f>'Clothing calculations'!B66</f>
        <v>Clothing washed (in use)</v>
      </c>
      <c r="C495" t="str">
        <f>'Clothing calculations'!C66</f>
        <v>any</v>
      </c>
      <c r="D495" t="str">
        <f>'Clothing calculations'!D66</f>
        <v>any</v>
      </c>
      <c r="E495">
        <f>'Clothing calculations'!E66</f>
        <v>1.3554814450000001E-2</v>
      </c>
      <c r="F495">
        <f>'Clothing calculations'!F66</f>
        <v>2</v>
      </c>
      <c r="G495" t="str">
        <f>'Clothing calculations'!G66</f>
        <v>Computed from wearing, washing, drying TCs</v>
      </c>
      <c r="H495">
        <f>'Clothing calculations'!H66</f>
        <v>2</v>
      </c>
      <c r="I495">
        <f>'Clothing calculations'!I66</f>
        <v>2</v>
      </c>
      <c r="J495">
        <f>'Clothing calculations'!J66</f>
        <v>2</v>
      </c>
      <c r="K495">
        <f>'Clothing calculations'!K66</f>
        <v>2</v>
      </c>
      <c r="L495">
        <f>'Clothing calculations'!L66</f>
        <v>2</v>
      </c>
      <c r="M495">
        <f>'Clothing calculations'!M66</f>
        <v>2</v>
      </c>
    </row>
    <row r="496" spans="1:13">
      <c r="A496" t="s">
        <v>2182</v>
      </c>
      <c r="B496" t="str">
        <f>'Clothing calculations'!B67</f>
        <v>Clothing washed (discarded)</v>
      </c>
      <c r="C496" t="str">
        <f>'Clothing calculations'!C67</f>
        <v>any</v>
      </c>
      <c r="D496" t="str">
        <f>'Clothing calculations'!D67</f>
        <v>any</v>
      </c>
      <c r="E496" t="str">
        <f>'Clothing calculations'!E67</f>
        <v>rest</v>
      </c>
      <c r="F496">
        <f>'Clothing calculations'!F67</f>
        <v>1</v>
      </c>
    </row>
    <row r="497" spans="1:13">
      <c r="A497" t="s">
        <v>2055</v>
      </c>
      <c r="B497" t="str">
        <f>'Clothing calculations'!B66</f>
        <v>Clothing washed (in use)</v>
      </c>
      <c r="C497" t="str">
        <f>'Clothing calculations'!C66</f>
        <v>any</v>
      </c>
      <c r="D497" t="str">
        <f>'Clothing calculations'!D66</f>
        <v>any</v>
      </c>
      <c r="E497">
        <f>'Clothing calculations'!E66</f>
        <v>1.3554814450000001E-2</v>
      </c>
      <c r="F497">
        <f>'Clothing calculations'!F66</f>
        <v>2</v>
      </c>
      <c r="G497" t="str">
        <f>'Clothing calculations'!G66</f>
        <v>Computed from wearing, washing, drying TCs</v>
      </c>
      <c r="H497">
        <f>'Clothing calculations'!H66</f>
        <v>2</v>
      </c>
      <c r="I497">
        <f>'Clothing calculations'!I66</f>
        <v>2</v>
      </c>
      <c r="J497">
        <f>'Clothing calculations'!J66</f>
        <v>2</v>
      </c>
      <c r="K497">
        <f>'Clothing calculations'!K66</f>
        <v>2</v>
      </c>
      <c r="L497">
        <f>'Clothing calculations'!L66</f>
        <v>2</v>
      </c>
      <c r="M497">
        <f>'Clothing calculations'!M66</f>
        <v>2</v>
      </c>
    </row>
    <row r="498" spans="1:13">
      <c r="A498" t="s">
        <v>2055</v>
      </c>
      <c r="B498" t="str">
        <f>'Clothing calculations'!B67</f>
        <v>Clothing washed (discarded)</v>
      </c>
      <c r="C498" t="str">
        <f>'Clothing calculations'!C67</f>
        <v>any</v>
      </c>
      <c r="D498" t="str">
        <f>'Clothing calculations'!D67</f>
        <v>any</v>
      </c>
      <c r="E498" t="str">
        <f>'Clothing calculations'!E67</f>
        <v>rest</v>
      </c>
      <c r="F498">
        <f>'Clothing calculations'!F67</f>
        <v>1</v>
      </c>
    </row>
    <row r="499" spans="1:13">
      <c r="A499" t="s">
        <v>2056</v>
      </c>
      <c r="B499" t="str">
        <f>'Clothing calculations'!B66</f>
        <v>Clothing washed (in use)</v>
      </c>
      <c r="C499" t="str">
        <f>'Clothing calculations'!C66</f>
        <v>any</v>
      </c>
      <c r="D499" t="str">
        <f>'Clothing calculations'!D66</f>
        <v>any</v>
      </c>
      <c r="E499">
        <f>'Clothing calculations'!E66</f>
        <v>1.3554814450000001E-2</v>
      </c>
      <c r="F499">
        <f>'Clothing calculations'!F66</f>
        <v>2</v>
      </c>
      <c r="G499" t="str">
        <f>'Clothing calculations'!G66</f>
        <v>Computed from wearing, washing, drying TCs</v>
      </c>
      <c r="H499">
        <f>'Clothing calculations'!H66</f>
        <v>2</v>
      </c>
      <c r="I499">
        <f>'Clothing calculations'!I66</f>
        <v>2</v>
      </c>
      <c r="J499">
        <f>'Clothing calculations'!J66</f>
        <v>2</v>
      </c>
      <c r="K499">
        <f>'Clothing calculations'!K66</f>
        <v>2</v>
      </c>
      <c r="L499">
        <f>'Clothing calculations'!L66</f>
        <v>2</v>
      </c>
      <c r="M499">
        <f>'Clothing calculations'!M66</f>
        <v>2</v>
      </c>
    </row>
    <row r="500" spans="1:13">
      <c r="A500" t="s">
        <v>2056</v>
      </c>
      <c r="B500" t="str">
        <f>'Clothing calculations'!B67</f>
        <v>Clothing washed (discarded)</v>
      </c>
      <c r="C500" t="str">
        <f>'Clothing calculations'!C67</f>
        <v>any</v>
      </c>
      <c r="D500" t="str">
        <f>'Clothing calculations'!D67</f>
        <v>any</v>
      </c>
      <c r="E500" t="str">
        <f>'Clothing calculations'!E67</f>
        <v>rest</v>
      </c>
      <c r="F500">
        <f>'Clothing calculations'!F67</f>
        <v>1</v>
      </c>
    </row>
    <row r="501" spans="1:13">
      <c r="A501" t="s">
        <v>2057</v>
      </c>
      <c r="B501" t="str">
        <f>'Clothing calculations'!B66</f>
        <v>Clothing washed (in use)</v>
      </c>
      <c r="C501" t="str">
        <f>'Clothing calculations'!C66</f>
        <v>any</v>
      </c>
      <c r="D501" t="str">
        <f>'Clothing calculations'!D66</f>
        <v>any</v>
      </c>
      <c r="E501">
        <f>'Clothing calculations'!E66</f>
        <v>1.3554814450000001E-2</v>
      </c>
      <c r="F501">
        <f>'Clothing calculations'!F66</f>
        <v>2</v>
      </c>
      <c r="G501" t="str">
        <f>'Clothing calculations'!G66</f>
        <v>Computed from wearing, washing, drying TCs</v>
      </c>
      <c r="H501">
        <f>'Clothing calculations'!H66</f>
        <v>2</v>
      </c>
      <c r="I501">
        <f>'Clothing calculations'!I66</f>
        <v>2</v>
      </c>
      <c r="J501">
        <f>'Clothing calculations'!J66</f>
        <v>2</v>
      </c>
      <c r="K501">
        <f>'Clothing calculations'!K66</f>
        <v>2</v>
      </c>
      <c r="L501">
        <f>'Clothing calculations'!L66</f>
        <v>2</v>
      </c>
      <c r="M501">
        <f>'Clothing calculations'!M66</f>
        <v>2</v>
      </c>
    </row>
    <row r="502" spans="1:13">
      <c r="A502" t="s">
        <v>2057</v>
      </c>
      <c r="B502" t="str">
        <f>'Clothing calculations'!B67</f>
        <v>Clothing washed (discarded)</v>
      </c>
      <c r="C502" t="str">
        <f>'Clothing calculations'!C67</f>
        <v>any</v>
      </c>
      <c r="D502" t="str">
        <f>'Clothing calculations'!D67</f>
        <v>any</v>
      </c>
      <c r="E502" t="str">
        <f>'Clothing calculations'!E67</f>
        <v>rest</v>
      </c>
      <c r="F502">
        <f>'Clothing calculations'!F67</f>
        <v>1</v>
      </c>
    </row>
    <row r="504" spans="1:13" s="645" customFormat="1">
      <c r="A504" s="645" t="s">
        <v>2296</v>
      </c>
    </row>
    <row r="505" spans="1:13">
      <c r="A505" t="str">
        <f>'Clothing calculations'!A69</f>
        <v>Clothing washed (in use)</v>
      </c>
      <c r="B505" t="str">
        <f>'Clothing calculations'!B69</f>
        <v>Clothing wearing</v>
      </c>
      <c r="C505" t="str">
        <f>'Clothing calculations'!C69</f>
        <v>any</v>
      </c>
      <c r="D505" t="str">
        <f>'Clothing calculations'!D69</f>
        <v>any</v>
      </c>
      <c r="E505">
        <f>'Clothing calculations'!E69</f>
        <v>0.22316793868026719</v>
      </c>
      <c r="F505">
        <f>'Clothing calculations'!F69</f>
        <v>2</v>
      </c>
      <c r="G505" t="str">
        <f>'Clothing calculations'!G69</f>
        <v>Average loss during wear, Kawecki et al. 2019, SI table 17</v>
      </c>
      <c r="H505">
        <f>'Clothing calculations'!H69</f>
        <v>2</v>
      </c>
      <c r="I505">
        <f>'Clothing calculations'!I69</f>
        <v>2</v>
      </c>
      <c r="J505">
        <f>'Clothing calculations'!J69</f>
        <v>2</v>
      </c>
      <c r="K505">
        <f>'Clothing calculations'!K69</f>
        <v>2</v>
      </c>
      <c r="L505">
        <f>'Clothing calculations'!L69</f>
        <v>2</v>
      </c>
      <c r="M505">
        <f>'Clothing calculations'!M69</f>
        <v>2</v>
      </c>
    </row>
    <row r="506" spans="1:13">
      <c r="A506" t="str">
        <f>'Clothing calculations'!A70</f>
        <v>Clothing washed (in use)</v>
      </c>
      <c r="B506" t="str">
        <f>'Clothing calculations'!B70</f>
        <v>Clothing washing</v>
      </c>
      <c r="C506" t="str">
        <f>'Clothing calculations'!C70</f>
        <v>any</v>
      </c>
      <c r="D506" t="str">
        <f>'Clothing calculations'!D70</f>
        <v>any</v>
      </c>
      <c r="E506">
        <f>'Clothing calculations'!E70</f>
        <v>0.7390620127596067</v>
      </c>
      <c r="F506">
        <f>'Clothing calculations'!F70</f>
        <v>2</v>
      </c>
      <c r="G506" t="str">
        <f>'Clothing calculations'!G70</f>
        <v>Computed from available data from Kawecki et al. (2019) and CBS (2022)</v>
      </c>
      <c r="H506">
        <f>'Clothing calculations'!H70</f>
        <v>2</v>
      </c>
      <c r="I506">
        <f>'Clothing calculations'!I70</f>
        <v>2</v>
      </c>
      <c r="J506">
        <f>'Clothing calculations'!J70</f>
        <v>2</v>
      </c>
      <c r="K506">
        <f>'Clothing calculations'!K70</f>
        <v>2</v>
      </c>
      <c r="L506">
        <f>'Clothing calculations'!L70</f>
        <v>2</v>
      </c>
      <c r="M506">
        <f>'Clothing calculations'!M70</f>
        <v>2</v>
      </c>
    </row>
    <row r="507" spans="1:13">
      <c r="A507" t="str">
        <f>'Clothing calculations'!A71</f>
        <v>Clothing washed (in use)</v>
      </c>
      <c r="B507" t="str">
        <f>'Clothing calculations'!B71</f>
        <v>Clothing drying</v>
      </c>
      <c r="C507" t="str">
        <f>'Clothing calculations'!C71</f>
        <v>any</v>
      </c>
      <c r="D507" t="str">
        <f>'Clothing calculations'!D71</f>
        <v>any</v>
      </c>
      <c r="E507">
        <f>'Clothing calculations'!E71</f>
        <v>3.7770048560126175E-2</v>
      </c>
      <c r="F507">
        <f>'Clothing calculations'!F71</f>
        <v>2</v>
      </c>
      <c r="G507" t="str">
        <f>'Clothing calculations'!G71</f>
        <v>Computed from available data from Kawecki et al. (2019)</v>
      </c>
      <c r="H507">
        <f>'Clothing calculations'!H71</f>
        <v>2</v>
      </c>
      <c r="I507">
        <f>'Clothing calculations'!I71</f>
        <v>2</v>
      </c>
      <c r="J507">
        <f>'Clothing calculations'!J71</f>
        <v>2</v>
      </c>
      <c r="K507">
        <f>'Clothing calculations'!K71</f>
        <v>2</v>
      </c>
      <c r="L507">
        <f>'Clothing calculations'!L71</f>
        <v>2</v>
      </c>
      <c r="M507">
        <f>'Clothing calculations'!M71</f>
        <v>2</v>
      </c>
    </row>
    <row r="508" spans="1:13">
      <c r="A508" t="str">
        <f>'Clothing calculations'!A72</f>
        <v>Clothing washed (discarded)</v>
      </c>
      <c r="B508" t="str">
        <f>'Clothing calculations'!B72</f>
        <v>Clothing waste collection</v>
      </c>
      <c r="C508" t="str">
        <f>'Clothing calculations'!C72</f>
        <v>any</v>
      </c>
      <c r="D508" t="str">
        <f>'Clothing calculations'!D72</f>
        <v>any</v>
      </c>
      <c r="E508">
        <f>'Clothing calculations'!E72</f>
        <v>0.50465116279069766</v>
      </c>
      <c r="F508">
        <f>'Clothing calculations'!F72</f>
        <v>2</v>
      </c>
      <c r="G508" t="str">
        <f>'Clothing calculations'!G72</f>
        <v>Massabalans textiel, 2022</v>
      </c>
      <c r="H508">
        <f>'Clothing calculations'!H72</f>
        <v>1</v>
      </c>
      <c r="I508">
        <f>'Clothing calculations'!I72</f>
        <v>2</v>
      </c>
      <c r="J508">
        <f>'Clothing calculations'!J72</f>
        <v>2</v>
      </c>
      <c r="K508">
        <f>'Clothing calculations'!K72</f>
        <v>1</v>
      </c>
      <c r="L508">
        <f>'Clothing calculations'!L72</f>
        <v>2</v>
      </c>
      <c r="M508">
        <f>'Clothing calculations'!M72</f>
        <v>2</v>
      </c>
    </row>
    <row r="509" spans="1:13">
      <c r="A509" t="str">
        <f>'Clothing calculations'!A73</f>
        <v>Clothing washed (discarded)</v>
      </c>
      <c r="B509" t="str">
        <f>'Clothing calculations'!B73</f>
        <v>Mixed waste collection</v>
      </c>
      <c r="C509" t="str">
        <f>'Clothing calculations'!C73</f>
        <v>any</v>
      </c>
      <c r="D509" t="str">
        <f>'Clothing calculations'!D73</f>
        <v>any</v>
      </c>
      <c r="E509" t="str">
        <f>'Clothing calculations'!E73</f>
        <v>rest</v>
      </c>
      <c r="F509">
        <f>'Clothing calculations'!F73</f>
        <v>1</v>
      </c>
    </row>
    <row r="510" spans="1:13">
      <c r="A510" t="str">
        <f>'Clothing calculations'!A74</f>
        <v>Clothing washed (discarded)</v>
      </c>
      <c r="B510" t="str">
        <f>'Clothing calculations'!B74</f>
        <v>Dumping</v>
      </c>
      <c r="C510" t="str">
        <f>'Clothing calculations'!C74</f>
        <v>any</v>
      </c>
      <c r="D510" t="str">
        <f>'Clothing calculations'!D74</f>
        <v>any</v>
      </c>
      <c r="E510">
        <f>'Clothing calculations'!E74</f>
        <v>2.7E-4</v>
      </c>
      <c r="F510">
        <f>'Clothing calculations'!F74</f>
        <v>2</v>
      </c>
      <c r="G510" t="str">
        <f>'Clothing calculations'!G74</f>
        <v>Kawecki &amp; Nowack (2019)</v>
      </c>
      <c r="H510">
        <f>'Clothing calculations'!H74</f>
        <v>2</v>
      </c>
      <c r="I510">
        <f>'Clothing calculations'!I74</f>
        <v>2</v>
      </c>
      <c r="J510">
        <f>'Clothing calculations'!J74</f>
        <v>2</v>
      </c>
      <c r="K510">
        <f>'Clothing calculations'!K74</f>
        <v>3</v>
      </c>
      <c r="L510">
        <f>'Clothing calculations'!L74</f>
        <v>3</v>
      </c>
      <c r="M510">
        <f>'Clothing calculations'!M74</f>
        <v>3</v>
      </c>
    </row>
    <row r="511" spans="1:13">
      <c r="A511" t="str">
        <f>'Clothing calculations'!A88</f>
        <v>Clothing rarely washed (in use)</v>
      </c>
      <c r="B511" t="str">
        <f>'Clothing calculations'!B88</f>
        <v>Clothing wearing</v>
      </c>
      <c r="C511" t="str">
        <f>'Clothing calculations'!C88</f>
        <v>any</v>
      </c>
      <c r="D511" t="str">
        <f>'Clothing calculations'!D88</f>
        <v>any</v>
      </c>
      <c r="E511">
        <f>'Clothing calculations'!E88</f>
        <v>0.8928315675018812</v>
      </c>
      <c r="F511">
        <f>'Clothing calculations'!F88</f>
        <v>2</v>
      </c>
      <c r="G511" t="str">
        <f>'Clothing calculations'!G88</f>
        <v>Average loss during wear, Kawecki et al. 2019, SI table 17</v>
      </c>
      <c r="H511">
        <f>'Clothing calculations'!H88</f>
        <v>2</v>
      </c>
      <c r="I511">
        <f>'Clothing calculations'!I88</f>
        <v>2</v>
      </c>
      <c r="J511">
        <f>'Clothing calculations'!J88</f>
        <v>2</v>
      </c>
      <c r="K511">
        <f>'Clothing calculations'!K88</f>
        <v>2</v>
      </c>
      <c r="L511">
        <f>'Clothing calculations'!L88</f>
        <v>2</v>
      </c>
      <c r="M511">
        <f>'Clothing calculations'!M88</f>
        <v>2</v>
      </c>
    </row>
    <row r="512" spans="1:13">
      <c r="A512" t="str">
        <f>'Clothing calculations'!A89</f>
        <v>Clothing rarely washed (in use)</v>
      </c>
      <c r="B512" t="str">
        <f>'Clothing calculations'!B89</f>
        <v>Clothing washing</v>
      </c>
      <c r="C512" t="str">
        <f>'Clothing calculations'!C89</f>
        <v>any</v>
      </c>
      <c r="D512" t="str">
        <f>'Clothing calculations'!D89</f>
        <v>any</v>
      </c>
      <c r="E512">
        <f>'Clothing calculations'!E89</f>
        <v>0.10195783795508456</v>
      </c>
      <c r="F512">
        <f>'Clothing calculations'!F89</f>
        <v>2</v>
      </c>
      <c r="G512" t="str">
        <f>'Clothing calculations'!G89</f>
        <v>Computed from available data from Kawecki et al. (2019) and CBS (2022)</v>
      </c>
      <c r="H512">
        <f>'Clothing calculations'!H89</f>
        <v>2</v>
      </c>
      <c r="I512">
        <f>'Clothing calculations'!I89</f>
        <v>2</v>
      </c>
      <c r="J512">
        <f>'Clothing calculations'!J89</f>
        <v>2</v>
      </c>
      <c r="K512">
        <f>'Clothing calculations'!K89</f>
        <v>2</v>
      </c>
      <c r="L512">
        <f>'Clothing calculations'!L89</f>
        <v>2</v>
      </c>
      <c r="M512">
        <f>'Clothing calculations'!M89</f>
        <v>2</v>
      </c>
    </row>
    <row r="513" spans="1:13">
      <c r="A513" t="str">
        <f>'Clothing calculations'!A90</f>
        <v>Clothing rarely washed (in use)</v>
      </c>
      <c r="B513" t="str">
        <f>'Clothing calculations'!B90</f>
        <v>Clothing drying</v>
      </c>
      <c r="C513" t="str">
        <f>'Clothing calculations'!C90</f>
        <v>any</v>
      </c>
      <c r="D513" t="str">
        <f>'Clothing calculations'!D90</f>
        <v>any</v>
      </c>
      <c r="E513">
        <f>'Clothing calculations'!E90</f>
        <v>5.2105945430341201E-3</v>
      </c>
      <c r="F513">
        <f>'Clothing calculations'!F90</f>
        <v>2</v>
      </c>
      <c r="G513" t="str">
        <f>'Clothing calculations'!G90</f>
        <v>Computed from available data from Kawecki et al. (2019)</v>
      </c>
      <c r="H513">
        <f>'Clothing calculations'!H90</f>
        <v>2</v>
      </c>
      <c r="I513">
        <f>'Clothing calculations'!I90</f>
        <v>2</v>
      </c>
      <c r="J513">
        <f>'Clothing calculations'!J90</f>
        <v>2</v>
      </c>
      <c r="K513">
        <f>'Clothing calculations'!K90</f>
        <v>2</v>
      </c>
      <c r="L513">
        <f>'Clothing calculations'!L90</f>
        <v>2</v>
      </c>
      <c r="M513">
        <f>'Clothing calculations'!M90</f>
        <v>2</v>
      </c>
    </row>
    <row r="514" spans="1:13">
      <c r="A514" t="str">
        <f>'Clothing calculations'!A91</f>
        <v>Clothing rarely washed (discarded)</v>
      </c>
      <c r="B514" t="str">
        <f>'Clothing calculations'!B91</f>
        <v>Clothing waste collection</v>
      </c>
      <c r="C514" t="str">
        <f>'Clothing calculations'!C91</f>
        <v>any</v>
      </c>
      <c r="D514" t="str">
        <f>'Clothing calculations'!D91</f>
        <v>any</v>
      </c>
      <c r="E514">
        <f>'Clothing calculations'!E91</f>
        <v>0.50465116279069766</v>
      </c>
      <c r="F514">
        <f>'Clothing calculations'!F91</f>
        <v>2</v>
      </c>
      <c r="G514" t="str">
        <f>'Clothing calculations'!G91</f>
        <v>Massabalans textiel, 2022</v>
      </c>
      <c r="H514">
        <f>'Clothing calculations'!H91</f>
        <v>1</v>
      </c>
      <c r="I514">
        <f>'Clothing calculations'!I91</f>
        <v>2</v>
      </c>
      <c r="J514">
        <f>'Clothing calculations'!J91</f>
        <v>2</v>
      </c>
      <c r="K514">
        <f>'Clothing calculations'!K91</f>
        <v>1</v>
      </c>
      <c r="L514">
        <f>'Clothing calculations'!L91</f>
        <v>2</v>
      </c>
      <c r="M514">
        <f>'Clothing calculations'!M91</f>
        <v>2</v>
      </c>
    </row>
    <row r="515" spans="1:13">
      <c r="A515" t="str">
        <f>'Clothing calculations'!A92</f>
        <v>Clothing rarely washed (discarded)</v>
      </c>
      <c r="B515" t="str">
        <f>'Clothing calculations'!B92</f>
        <v>Mixed waste collection</v>
      </c>
      <c r="C515" t="str">
        <f>'Clothing calculations'!C92</f>
        <v>any</v>
      </c>
      <c r="D515" t="str">
        <f>'Clothing calculations'!D92</f>
        <v>any</v>
      </c>
      <c r="E515" t="str">
        <f>'Clothing calculations'!E92</f>
        <v>rest</v>
      </c>
      <c r="F515">
        <f>'Clothing calculations'!F92</f>
        <v>1</v>
      </c>
    </row>
    <row r="516" spans="1:13">
      <c r="A516" t="str">
        <f>'Clothing calculations'!A93</f>
        <v>Clothing rarely washed (discarded)</v>
      </c>
      <c r="B516" t="str">
        <f>'Clothing calculations'!B93</f>
        <v>Dumping</v>
      </c>
      <c r="C516" t="str">
        <f>'Clothing calculations'!C93</f>
        <v>any</v>
      </c>
      <c r="D516" t="str">
        <f>'Clothing calculations'!D93</f>
        <v>any</v>
      </c>
      <c r="E516">
        <f>'Clothing calculations'!E93</f>
        <v>2.7E-4</v>
      </c>
      <c r="F516">
        <f>'Clothing calculations'!F93</f>
        <v>2</v>
      </c>
      <c r="G516" t="str">
        <f>'Clothing calculations'!G93</f>
        <v>Kawecki &amp; Nowack (2019)</v>
      </c>
      <c r="H516">
        <f>'Clothing calculations'!H93</f>
        <v>2</v>
      </c>
      <c r="I516">
        <f>'Clothing calculations'!I93</f>
        <v>2</v>
      </c>
      <c r="J516">
        <f>'Clothing calculations'!J93</f>
        <v>2</v>
      </c>
      <c r="K516">
        <f>'Clothing calculations'!K93</f>
        <v>3</v>
      </c>
      <c r="L516">
        <f>'Clothing calculations'!L93</f>
        <v>3</v>
      </c>
      <c r="M516">
        <f>'Clothing calculations'!M93</f>
        <v>3</v>
      </c>
    </row>
    <row r="517" spans="1:13">
      <c r="A517" t="str">
        <f>'Clothing calculations'!A105</f>
        <v>Clothing not washed (in use)</v>
      </c>
      <c r="B517" t="str">
        <f>'Clothing calculations'!B105</f>
        <v>Clothing wearing</v>
      </c>
      <c r="C517" t="str">
        <f>'Clothing calculations'!C105</f>
        <v>any</v>
      </c>
      <c r="D517" t="str">
        <f>'Clothing calculations'!D105</f>
        <v>any</v>
      </c>
      <c r="E517">
        <f>'Clothing calculations'!E105</f>
        <v>1</v>
      </c>
      <c r="F517">
        <f>'Clothing calculations'!F105</f>
        <v>1</v>
      </c>
      <c r="G517" t="str">
        <f>'Clothing calculations'!G105</f>
        <v>Average loss during wear, Kawecki et al. 2019, SI table 17</v>
      </c>
      <c r="H517">
        <f>'Clothing calculations'!H105</f>
        <v>2</v>
      </c>
      <c r="I517">
        <f>'Clothing calculations'!I105</f>
        <v>2</v>
      </c>
      <c r="J517">
        <f>'Clothing calculations'!J105</f>
        <v>2</v>
      </c>
      <c r="K517">
        <f>'Clothing calculations'!K105</f>
        <v>2</v>
      </c>
      <c r="L517">
        <f>'Clothing calculations'!L105</f>
        <v>2</v>
      </c>
      <c r="M517">
        <f>'Clothing calculations'!M105</f>
        <v>2</v>
      </c>
    </row>
    <row r="518" spans="1:13">
      <c r="A518" t="str">
        <f>'Clothing calculations'!A106</f>
        <v>Clothing not washed (discarded)</v>
      </c>
      <c r="B518" t="str">
        <f>'Clothing calculations'!B106</f>
        <v>Clothing waste collection</v>
      </c>
      <c r="C518" t="str">
        <f>'Clothing calculations'!C106</f>
        <v>any</v>
      </c>
      <c r="D518" t="str">
        <f>'Clothing calculations'!D106</f>
        <v>any</v>
      </c>
      <c r="E518">
        <f>'Clothing calculations'!E106</f>
        <v>0.50465116279069766</v>
      </c>
      <c r="F518">
        <f>'Clothing calculations'!F106</f>
        <v>2</v>
      </c>
      <c r="G518" t="str">
        <f>'Clothing calculations'!G106</f>
        <v>Massabalans textiel, 2022</v>
      </c>
      <c r="H518">
        <f>'Clothing calculations'!H106</f>
        <v>1</v>
      </c>
      <c r="I518">
        <f>'Clothing calculations'!I106</f>
        <v>2</v>
      </c>
      <c r="J518">
        <f>'Clothing calculations'!J106</f>
        <v>2</v>
      </c>
      <c r="K518">
        <f>'Clothing calculations'!K106</f>
        <v>1</v>
      </c>
      <c r="L518">
        <f>'Clothing calculations'!L106</f>
        <v>2</v>
      </c>
      <c r="M518">
        <f>'Clothing calculations'!M106</f>
        <v>2</v>
      </c>
    </row>
    <row r="519" spans="1:13">
      <c r="A519" t="str">
        <f>'Clothing calculations'!A107</f>
        <v>Clothing not washed (discarded)</v>
      </c>
      <c r="B519" t="str">
        <f>'Clothing calculations'!B107</f>
        <v>Mixed waste collection</v>
      </c>
      <c r="C519" t="str">
        <f>'Clothing calculations'!C107</f>
        <v>any</v>
      </c>
      <c r="D519" t="str">
        <f>'Clothing calculations'!D107</f>
        <v>any</v>
      </c>
      <c r="E519" t="str">
        <f>'Clothing calculations'!E107</f>
        <v>rest</v>
      </c>
      <c r="F519">
        <f>'Clothing calculations'!F107</f>
        <v>1</v>
      </c>
    </row>
    <row r="520" spans="1:13">
      <c r="A520" t="str">
        <f>'Clothing calculations'!A108</f>
        <v>Clothing not washed (discarded)</v>
      </c>
      <c r="B520" t="str">
        <f>'Clothing calculations'!B108</f>
        <v>Dumping</v>
      </c>
      <c r="C520" t="str">
        <f>'Clothing calculations'!C108</f>
        <v>any</v>
      </c>
      <c r="D520" t="str">
        <f>'Clothing calculations'!D108</f>
        <v>any</v>
      </c>
      <c r="E520">
        <f>'Clothing calculations'!E108</f>
        <v>2.7E-4</v>
      </c>
      <c r="F520">
        <f>'Clothing calculations'!F108</f>
        <v>2</v>
      </c>
      <c r="G520" t="str">
        <f>'Clothing calculations'!G108</f>
        <v>Kawecki &amp; Nowack (2019)</v>
      </c>
      <c r="H520">
        <f>'Clothing calculations'!H108</f>
        <v>2</v>
      </c>
      <c r="I520">
        <f>'Clothing calculations'!I108</f>
        <v>2</v>
      </c>
      <c r="J520">
        <f>'Clothing calculations'!J108</f>
        <v>2</v>
      </c>
      <c r="K520">
        <f>'Clothing calculations'!K108</f>
        <v>3</v>
      </c>
      <c r="L520">
        <f>'Clothing calculations'!L108</f>
        <v>3</v>
      </c>
      <c r="M520">
        <f>'Clothing calculations'!M108</f>
        <v>3</v>
      </c>
    </row>
    <row r="521" spans="1:13">
      <c r="E521" s="217"/>
    </row>
    <row r="522" spans="1:13" s="221" customFormat="1">
      <c r="A522" s="409" t="s">
        <v>2297</v>
      </c>
      <c r="E522" s="932"/>
    </row>
    <row r="523" spans="1:13">
      <c r="A523" t="s">
        <v>2052</v>
      </c>
      <c r="B523" t="str">
        <f>'Clothing calculations'!B111</f>
        <v>Footwear waste collection</v>
      </c>
      <c r="C523" t="str">
        <f>'Clothing calculations'!C111</f>
        <v>any</v>
      </c>
      <c r="D523" t="str">
        <f>'Clothing calculations'!D111</f>
        <v>any</v>
      </c>
      <c r="E523" s="217">
        <f>'Clothing calculations'!E111</f>
        <v>0.25</v>
      </c>
      <c r="F523">
        <f>'Clothing calculations'!F111</f>
        <v>2</v>
      </c>
      <c r="G523" t="str">
        <f>'Clothing calculations'!G111</f>
        <v>(de Waart et al., 2023)</v>
      </c>
      <c r="H523">
        <f>'Clothing calculations'!H111</f>
        <v>2</v>
      </c>
      <c r="I523">
        <f>'Clothing calculations'!I111</f>
        <v>2</v>
      </c>
      <c r="J523">
        <f>'Clothing calculations'!J111</f>
        <v>2</v>
      </c>
      <c r="K523">
        <f>'Clothing calculations'!K111</f>
        <v>3</v>
      </c>
      <c r="L523">
        <f>'Clothing calculations'!L111</f>
        <v>2</v>
      </c>
      <c r="M523">
        <f>'Clothing calculations'!M111</f>
        <v>2</v>
      </c>
    </row>
    <row r="524" spans="1:13">
      <c r="A524" t="s">
        <v>2052</v>
      </c>
      <c r="B524" t="str">
        <f>'Clothing calculations'!B112</f>
        <v>Mixed waste collection</v>
      </c>
      <c r="C524" t="str">
        <f>'Clothing calculations'!C112</f>
        <v>any</v>
      </c>
      <c r="D524" t="str">
        <f>'Clothing calculations'!D112</f>
        <v>any</v>
      </c>
      <c r="E524" s="217" t="str">
        <f>'Clothing calculations'!E112</f>
        <v>rest</v>
      </c>
      <c r="F524">
        <f>'Clothing calculations'!F112</f>
        <v>1</v>
      </c>
    </row>
    <row r="525" spans="1:13">
      <c r="A525" t="s">
        <v>2052</v>
      </c>
      <c r="B525" t="str">
        <f>'Clothing calculations'!B113</f>
        <v>Dumping</v>
      </c>
      <c r="C525" t="str">
        <f>'Clothing calculations'!C113</f>
        <v>any</v>
      </c>
      <c r="D525" t="str">
        <f>'Clothing calculations'!D113</f>
        <v>any</v>
      </c>
      <c r="E525" s="217">
        <f>'Clothing calculations'!E113</f>
        <v>2.6918324999999996E-4</v>
      </c>
      <c r="F525">
        <f>'Clothing calculations'!F113</f>
        <v>2</v>
      </c>
      <c r="G525" t="str">
        <f>'Clothing calculations'!G113</f>
        <v>Kawecki &amp; Nowack (2019)</v>
      </c>
      <c r="H525">
        <f>'Clothing calculations'!H113</f>
        <v>2</v>
      </c>
      <c r="I525">
        <f>'Clothing calculations'!I113</f>
        <v>2</v>
      </c>
      <c r="J525">
        <f>'Clothing calculations'!J113</f>
        <v>2</v>
      </c>
      <c r="K525">
        <f>'Clothing calculations'!K113</f>
        <v>3</v>
      </c>
      <c r="L525">
        <f>'Clothing calculations'!L113</f>
        <v>3</v>
      </c>
      <c r="M525">
        <f>'Clothing calculations'!M113</f>
        <v>3</v>
      </c>
    </row>
    <row r="526" spans="1:13">
      <c r="A526" t="s">
        <v>2052</v>
      </c>
      <c r="B526" t="str">
        <f>'Clothing calculations'!B114</f>
        <v>Footwear wearing (soles)</v>
      </c>
      <c r="C526" t="str">
        <f>'Clothing calculations'!C114</f>
        <v>any</v>
      </c>
      <c r="D526" t="str">
        <f>'Clothing calculations'!D114</f>
        <v>RUBBER</v>
      </c>
      <c r="E526" s="217">
        <f>'Clothing calculations'!E114</f>
        <v>5.7712387375211246E-3</v>
      </c>
      <c r="F526">
        <f>'Clothing calculations'!F114</f>
        <v>3</v>
      </c>
      <c r="G526" t="str">
        <f>'Clothing calculations'!G114</f>
        <v>See shoesole wear calculation in clothing tab of MainInputFile</v>
      </c>
      <c r="H526">
        <f>'Clothing calculations'!H114</f>
        <v>1</v>
      </c>
      <c r="I526">
        <f>'Clothing calculations'!I114</f>
        <v>2</v>
      </c>
      <c r="J526">
        <f>'Clothing calculations'!J114</f>
        <v>2</v>
      </c>
      <c r="K526">
        <f>'Clothing calculations'!K114</f>
        <v>2</v>
      </c>
      <c r="L526">
        <f>'Clothing calculations'!L114</f>
        <v>2</v>
      </c>
      <c r="M526">
        <f>'Clothing calculations'!M114</f>
        <v>3</v>
      </c>
    </row>
    <row r="527" spans="1:13">
      <c r="A527" t="s">
        <v>2052</v>
      </c>
      <c r="B527" t="str">
        <f>'Clothing calculations'!B115</f>
        <v>Footwear wearing (soles)</v>
      </c>
      <c r="C527" t="str">
        <f>'Clothing calculations'!C115</f>
        <v>any</v>
      </c>
      <c r="D527" t="str">
        <f>'Clothing calculations'!D115</f>
        <v>RUBBER</v>
      </c>
      <c r="E527" s="217">
        <f>'Clothing calculations'!E115</f>
        <v>1.1542477475042249E-2</v>
      </c>
      <c r="F527">
        <f>'Clothing calculations'!F115</f>
        <v>3</v>
      </c>
      <c r="G527" t="str">
        <f>'Clothing calculations'!G115</f>
        <v>See shoesole wear calculation in clothing tab of MainInputFile</v>
      </c>
      <c r="H527">
        <f>'Clothing calculations'!H115</f>
        <v>1</v>
      </c>
      <c r="I527">
        <f>'Clothing calculations'!I115</f>
        <v>2</v>
      </c>
      <c r="J527">
        <f>'Clothing calculations'!J115</f>
        <v>2</v>
      </c>
      <c r="K527">
        <f>'Clothing calculations'!K115</f>
        <v>2</v>
      </c>
      <c r="L527">
        <f>'Clothing calculations'!L115</f>
        <v>2</v>
      </c>
      <c r="M527">
        <f>'Clothing calculations'!M115</f>
        <v>3</v>
      </c>
    </row>
    <row r="528" spans="1:13">
      <c r="A528" t="s">
        <v>2052</v>
      </c>
      <c r="B528" t="str">
        <f>'Clothing calculations'!B116</f>
        <v>Footwear wearing (soles)</v>
      </c>
      <c r="C528" t="str">
        <f>'Clothing calculations'!C116</f>
        <v>any</v>
      </c>
      <c r="D528" t="str">
        <f>'Clothing calculations'!D116</f>
        <v>PUR</v>
      </c>
      <c r="E528" s="217">
        <f>'Clothing calculations'!E116</f>
        <v>2.5413504031689942E-3</v>
      </c>
      <c r="F528">
        <f>'Clothing calculations'!F116</f>
        <v>3</v>
      </c>
      <c r="G528" t="str">
        <f>'Clothing calculations'!G116</f>
        <v>See shoesole wear calculation in clothing tab of MainInputFile</v>
      </c>
      <c r="H528">
        <f>'Clothing calculations'!H116</f>
        <v>1</v>
      </c>
      <c r="I528">
        <f>'Clothing calculations'!I116</f>
        <v>2</v>
      </c>
      <c r="J528">
        <f>'Clothing calculations'!J116</f>
        <v>2</v>
      </c>
      <c r="K528">
        <f>'Clothing calculations'!K116</f>
        <v>2</v>
      </c>
      <c r="L528">
        <f>'Clothing calculations'!L116</f>
        <v>2</v>
      </c>
      <c r="M528">
        <f>'Clothing calculations'!M116</f>
        <v>3</v>
      </c>
    </row>
    <row r="529" spans="1:13">
      <c r="A529" t="s">
        <v>2052</v>
      </c>
      <c r="B529" t="str">
        <f>'Clothing calculations'!B117</f>
        <v>Footwear wearing (soles)</v>
      </c>
      <c r="C529" t="str">
        <f>'Clothing calculations'!C117</f>
        <v>any</v>
      </c>
      <c r="D529" t="str">
        <f>'Clothing calculations'!D117</f>
        <v>PUR</v>
      </c>
      <c r="E529" s="217">
        <f>'Clothing calculations'!E117</f>
        <v>5.0827008063379885E-3</v>
      </c>
      <c r="F529">
        <f>'Clothing calculations'!F117</f>
        <v>3</v>
      </c>
      <c r="G529" t="str">
        <f>'Clothing calculations'!G117</f>
        <v>See shoesole wear calculation in clothing tab of MainInputFile</v>
      </c>
      <c r="H529">
        <f>'Clothing calculations'!H117</f>
        <v>1</v>
      </c>
      <c r="I529">
        <f>'Clothing calculations'!I117</f>
        <v>2</v>
      </c>
      <c r="J529">
        <f>'Clothing calculations'!J117</f>
        <v>2</v>
      </c>
      <c r="K529">
        <f>'Clothing calculations'!K117</f>
        <v>2</v>
      </c>
      <c r="L529">
        <f>'Clothing calculations'!L117</f>
        <v>2</v>
      </c>
      <c r="M529">
        <f>'Clothing calculations'!M117</f>
        <v>3</v>
      </c>
    </row>
    <row r="530" spans="1:13">
      <c r="A530" t="s">
        <v>2052</v>
      </c>
      <c r="B530" t="str">
        <f>'Clothing calculations'!B118</f>
        <v>Footwear wearing (soles)</v>
      </c>
      <c r="C530" t="str">
        <f>'Clothing calculations'!C118</f>
        <v>any</v>
      </c>
      <c r="D530" t="str">
        <f>'Clothing calculations'!D118</f>
        <v>OTHER</v>
      </c>
      <c r="E530" s="217">
        <f>'Clothing calculations'!E118</f>
        <v>2.6370870403593857E-3</v>
      </c>
      <c r="F530">
        <f>'Clothing calculations'!F118</f>
        <v>3</v>
      </c>
      <c r="G530" t="str">
        <f>'Clothing calculations'!G118</f>
        <v>See shoesole wear calculation in clothing tab of MainInputFile</v>
      </c>
      <c r="H530">
        <f>'Clothing calculations'!H118</f>
        <v>1</v>
      </c>
      <c r="I530">
        <f>'Clothing calculations'!I118</f>
        <v>2</v>
      </c>
      <c r="J530">
        <f>'Clothing calculations'!J118</f>
        <v>2</v>
      </c>
      <c r="K530">
        <f>'Clothing calculations'!K118</f>
        <v>2</v>
      </c>
      <c r="L530">
        <f>'Clothing calculations'!L118</f>
        <v>2</v>
      </c>
      <c r="M530">
        <f>'Clothing calculations'!M118</f>
        <v>3</v>
      </c>
    </row>
    <row r="531" spans="1:13">
      <c r="A531" t="s">
        <v>2052</v>
      </c>
      <c r="B531" t="str">
        <f>'Clothing calculations'!B119</f>
        <v>Footwear wearing (soles)</v>
      </c>
      <c r="C531" t="str">
        <f>'Clothing calculations'!C119</f>
        <v>any</v>
      </c>
      <c r="D531" t="str">
        <f>'Clothing calculations'!D119</f>
        <v>OTHER</v>
      </c>
      <c r="E531" s="217">
        <f>'Clothing calculations'!E119</f>
        <v>5.2741740807187715E-3</v>
      </c>
      <c r="F531">
        <f>'Clothing calculations'!F119</f>
        <v>3</v>
      </c>
      <c r="G531" t="str">
        <f>'Clothing calculations'!G119</f>
        <v>See shoesole wear calculation in clothing tab of MainInputFile</v>
      </c>
      <c r="H531">
        <f>'Clothing calculations'!H119</f>
        <v>1</v>
      </c>
      <c r="I531">
        <f>'Clothing calculations'!I119</f>
        <v>2</v>
      </c>
      <c r="J531">
        <f>'Clothing calculations'!J119</f>
        <v>2</v>
      </c>
      <c r="K531">
        <f>'Clothing calculations'!K119</f>
        <v>2</v>
      </c>
      <c r="L531">
        <f>'Clothing calculations'!L119</f>
        <v>2</v>
      </c>
      <c r="M531">
        <f>'Clothing calculations'!M119</f>
        <v>3</v>
      </c>
    </row>
    <row r="532" spans="1:13">
      <c r="A532" t="s">
        <v>2052</v>
      </c>
      <c r="B532" t="str">
        <f>'Clothing calculations'!B120</f>
        <v>Footwear wearing (soles)</v>
      </c>
      <c r="C532" t="str">
        <f>'Clothing calculations'!C120</f>
        <v>any</v>
      </c>
      <c r="D532" t="str">
        <f>'Clothing calculations'!D120</f>
        <v>PVC</v>
      </c>
      <c r="E532" s="217">
        <f>'Clothing calculations'!E120</f>
        <v>3.2506855134566658E-3</v>
      </c>
      <c r="F532">
        <f>'Clothing calculations'!F120</f>
        <v>3</v>
      </c>
      <c r="G532" t="str">
        <f>'Clothing calculations'!G120</f>
        <v>See shoesole wear calculation in clothing tab of MainInputFile</v>
      </c>
      <c r="H532">
        <f>'Clothing calculations'!H120</f>
        <v>1</v>
      </c>
      <c r="I532">
        <f>'Clothing calculations'!I120</f>
        <v>2</v>
      </c>
      <c r="J532">
        <f>'Clothing calculations'!J120</f>
        <v>2</v>
      </c>
      <c r="K532">
        <f>'Clothing calculations'!K120</f>
        <v>2</v>
      </c>
      <c r="L532">
        <f>'Clothing calculations'!L120</f>
        <v>2</v>
      </c>
      <c r="M532">
        <f>'Clothing calculations'!M120</f>
        <v>3</v>
      </c>
    </row>
    <row r="533" spans="1:13">
      <c r="A533" t="s">
        <v>2052</v>
      </c>
      <c r="B533" t="str">
        <f>'Clothing calculations'!B121</f>
        <v>Footwear wearing (soles)</v>
      </c>
      <c r="C533" t="str">
        <f>'Clothing calculations'!C121</f>
        <v>any</v>
      </c>
      <c r="D533" t="str">
        <f>'Clothing calculations'!D121</f>
        <v>PVC</v>
      </c>
      <c r="E533" s="217">
        <f>'Clothing calculations'!E121</f>
        <v>6.5013710269133315E-3</v>
      </c>
      <c r="F533">
        <f>'Clothing calculations'!F121</f>
        <v>3</v>
      </c>
      <c r="G533" t="str">
        <f>'Clothing calculations'!G121</f>
        <v>See shoesole wear calculation in clothing tab of MainInputFile</v>
      </c>
      <c r="H533">
        <f>'Clothing calculations'!H121</f>
        <v>1</v>
      </c>
      <c r="I533">
        <f>'Clothing calculations'!I121</f>
        <v>2</v>
      </c>
      <c r="J533">
        <f>'Clothing calculations'!J121</f>
        <v>2</v>
      </c>
      <c r="K533">
        <f>'Clothing calculations'!K121</f>
        <v>2</v>
      </c>
      <c r="L533">
        <f>'Clothing calculations'!L121</f>
        <v>2</v>
      </c>
      <c r="M533">
        <f>'Clothing calculations'!M121</f>
        <v>3</v>
      </c>
    </row>
    <row r="534" spans="1:13">
      <c r="A534" t="s">
        <v>2052</v>
      </c>
      <c r="B534" t="str">
        <f>'Clothing calculations'!B122</f>
        <v>Footwear wearing (uppers)</v>
      </c>
      <c r="C534" t="str">
        <f>'Clothing calculations'!C122</f>
        <v>any</v>
      </c>
      <c r="D534" t="str">
        <f>'Clothing calculations'!D122</f>
        <v>PA</v>
      </c>
      <c r="E534" s="217">
        <f>'Clothing calculations'!E122</f>
        <v>3.0249999999999999E-3</v>
      </c>
      <c r="F534">
        <f>'Clothing calculations'!F122</f>
        <v>3</v>
      </c>
      <c r="G534" t="str">
        <f>'Clothing calculations'!G122</f>
        <v>Average loss during wear, Kawecki et al. 2019, SI table 17</v>
      </c>
      <c r="H534">
        <f>'Clothing calculations'!H122</f>
        <v>2</v>
      </c>
      <c r="I534">
        <f>'Clothing calculations'!I122</f>
        <v>2</v>
      </c>
      <c r="J534">
        <f>'Clothing calculations'!J122</f>
        <v>2</v>
      </c>
      <c r="K534">
        <f>'Clothing calculations'!K122</f>
        <v>2</v>
      </c>
      <c r="L534">
        <f>'Clothing calculations'!L122</f>
        <v>2</v>
      </c>
      <c r="M534">
        <f>'Clothing calculations'!M122</f>
        <v>2</v>
      </c>
    </row>
    <row r="535" spans="1:13">
      <c r="A535" t="s">
        <v>2052</v>
      </c>
      <c r="B535" t="str">
        <f>'Clothing calculations'!B123</f>
        <v>Footwear wearing (uppers)</v>
      </c>
      <c r="C535" t="str">
        <f>'Clothing calculations'!C123</f>
        <v>any</v>
      </c>
      <c r="D535" t="str">
        <f>'Clothing calculations'!D123</f>
        <v>PET</v>
      </c>
      <c r="E535" s="217">
        <f>'Clothing calculations'!E123</f>
        <v>3.0249999999999999E-3</v>
      </c>
      <c r="F535">
        <f>'Clothing calculations'!F123</f>
        <v>3</v>
      </c>
      <c r="G535" t="str">
        <f>'Clothing calculations'!G123</f>
        <v>Average loss during wear, Kawecki et al. 2019, SI table 17</v>
      </c>
      <c r="H535">
        <f>'Clothing calculations'!H123</f>
        <v>2</v>
      </c>
      <c r="I535">
        <f>'Clothing calculations'!I123</f>
        <v>2</v>
      </c>
      <c r="J535">
        <f>'Clothing calculations'!J123</f>
        <v>2</v>
      </c>
      <c r="K535">
        <f>'Clothing calculations'!K123</f>
        <v>2</v>
      </c>
      <c r="L535">
        <f>'Clothing calculations'!L123</f>
        <v>2</v>
      </c>
      <c r="M535">
        <f>'Clothing calculations'!M123</f>
        <v>2</v>
      </c>
    </row>
    <row r="536" spans="1:13">
      <c r="A536" t="s">
        <v>2053</v>
      </c>
      <c r="B536" t="str">
        <f>'Clothing calculations'!B111</f>
        <v>Footwear waste collection</v>
      </c>
      <c r="C536" t="str">
        <f>'Clothing calculations'!C111</f>
        <v>any</v>
      </c>
      <c r="D536" t="str">
        <f>'Clothing calculations'!D111</f>
        <v>any</v>
      </c>
      <c r="E536">
        <f>'Clothing calculations'!E111</f>
        <v>0.25</v>
      </c>
      <c r="F536">
        <f>'Clothing calculations'!F111</f>
        <v>2</v>
      </c>
      <c r="G536" t="str">
        <f>'Clothing calculations'!G111</f>
        <v>(de Waart et al., 2023)</v>
      </c>
      <c r="H536">
        <f>'Clothing calculations'!H111</f>
        <v>2</v>
      </c>
      <c r="I536">
        <f>'Clothing calculations'!I111</f>
        <v>2</v>
      </c>
      <c r="J536">
        <f>'Clothing calculations'!J111</f>
        <v>2</v>
      </c>
      <c r="K536">
        <f>'Clothing calculations'!K111</f>
        <v>3</v>
      </c>
      <c r="L536">
        <f>'Clothing calculations'!L111</f>
        <v>2</v>
      </c>
      <c r="M536">
        <f>'Clothing calculations'!M111</f>
        <v>2</v>
      </c>
    </row>
    <row r="537" spans="1:13">
      <c r="A537" t="s">
        <v>2053</v>
      </c>
      <c r="B537" t="str">
        <f>'Clothing calculations'!B112</f>
        <v>Mixed waste collection</v>
      </c>
      <c r="C537" t="str">
        <f>'Clothing calculations'!C112</f>
        <v>any</v>
      </c>
      <c r="D537" t="str">
        <f>'Clothing calculations'!D112</f>
        <v>any</v>
      </c>
      <c r="E537" t="str">
        <f>'Clothing calculations'!E112</f>
        <v>rest</v>
      </c>
      <c r="F537">
        <f>'Clothing calculations'!F112</f>
        <v>1</v>
      </c>
    </row>
    <row r="538" spans="1:13">
      <c r="A538" t="s">
        <v>2053</v>
      </c>
      <c r="B538" t="str">
        <f>'Clothing calculations'!B113</f>
        <v>Dumping</v>
      </c>
      <c r="C538" t="str">
        <f>'Clothing calculations'!C113</f>
        <v>any</v>
      </c>
      <c r="D538" t="str">
        <f>'Clothing calculations'!D113</f>
        <v>any</v>
      </c>
      <c r="E538">
        <f>'Clothing calculations'!E113</f>
        <v>2.6918324999999996E-4</v>
      </c>
      <c r="F538">
        <f>'Clothing calculations'!F113</f>
        <v>2</v>
      </c>
      <c r="G538" t="str">
        <f>'Clothing calculations'!G113</f>
        <v>Kawecki &amp; Nowack (2019)</v>
      </c>
      <c r="H538">
        <f>'Clothing calculations'!H113</f>
        <v>2</v>
      </c>
      <c r="I538">
        <f>'Clothing calculations'!I113</f>
        <v>2</v>
      </c>
      <c r="J538">
        <f>'Clothing calculations'!J113</f>
        <v>2</v>
      </c>
      <c r="K538">
        <f>'Clothing calculations'!K113</f>
        <v>3</v>
      </c>
      <c r="L538">
        <f>'Clothing calculations'!L113</f>
        <v>3</v>
      </c>
      <c r="M538">
        <f>'Clothing calculations'!M113</f>
        <v>3</v>
      </c>
    </row>
    <row r="539" spans="1:13">
      <c r="A539" t="s">
        <v>2053</v>
      </c>
      <c r="B539" t="str">
        <f>'Clothing calculations'!B114</f>
        <v>Footwear wearing (soles)</v>
      </c>
      <c r="C539" t="str">
        <f>'Clothing calculations'!C114</f>
        <v>any</v>
      </c>
      <c r="D539" t="str">
        <f>'Clothing calculations'!D114</f>
        <v>RUBBER</v>
      </c>
      <c r="E539">
        <f>'Clothing calculations'!E114</f>
        <v>5.7712387375211246E-3</v>
      </c>
      <c r="F539">
        <f>'Clothing calculations'!F114</f>
        <v>3</v>
      </c>
      <c r="G539" t="str">
        <f>'Clothing calculations'!G114</f>
        <v>See shoesole wear calculation in clothing tab of MainInputFile</v>
      </c>
      <c r="H539">
        <f>'Clothing calculations'!H114</f>
        <v>1</v>
      </c>
      <c r="I539">
        <f>'Clothing calculations'!I114</f>
        <v>2</v>
      </c>
      <c r="J539">
        <f>'Clothing calculations'!J114</f>
        <v>2</v>
      </c>
      <c r="K539">
        <f>'Clothing calculations'!K114</f>
        <v>2</v>
      </c>
      <c r="L539">
        <f>'Clothing calculations'!L114</f>
        <v>2</v>
      </c>
      <c r="M539">
        <f>'Clothing calculations'!M114</f>
        <v>3</v>
      </c>
    </row>
    <row r="540" spans="1:13">
      <c r="A540" t="s">
        <v>2053</v>
      </c>
      <c r="B540" t="str">
        <f>'Clothing calculations'!B115</f>
        <v>Footwear wearing (soles)</v>
      </c>
      <c r="C540" t="str">
        <f>'Clothing calculations'!C115</f>
        <v>any</v>
      </c>
      <c r="D540" t="str">
        <f>'Clothing calculations'!D115</f>
        <v>RUBBER</v>
      </c>
      <c r="E540">
        <f>'Clothing calculations'!E115</f>
        <v>1.1542477475042249E-2</v>
      </c>
      <c r="F540">
        <f>'Clothing calculations'!F115</f>
        <v>3</v>
      </c>
      <c r="G540" t="str">
        <f>'Clothing calculations'!G115</f>
        <v>See shoesole wear calculation in clothing tab of MainInputFile</v>
      </c>
      <c r="H540">
        <f>'Clothing calculations'!H115</f>
        <v>1</v>
      </c>
      <c r="I540">
        <f>'Clothing calculations'!I115</f>
        <v>2</v>
      </c>
      <c r="J540">
        <f>'Clothing calculations'!J115</f>
        <v>2</v>
      </c>
      <c r="K540">
        <f>'Clothing calculations'!K115</f>
        <v>2</v>
      </c>
      <c r="L540">
        <f>'Clothing calculations'!L115</f>
        <v>2</v>
      </c>
      <c r="M540">
        <f>'Clothing calculations'!M115</f>
        <v>3</v>
      </c>
    </row>
    <row r="541" spans="1:13">
      <c r="A541" t="s">
        <v>2053</v>
      </c>
      <c r="B541" t="str">
        <f>'Clothing calculations'!B116</f>
        <v>Footwear wearing (soles)</v>
      </c>
      <c r="C541" t="str">
        <f>'Clothing calculations'!C116</f>
        <v>any</v>
      </c>
      <c r="D541" t="str">
        <f>'Clothing calculations'!D116</f>
        <v>PUR</v>
      </c>
      <c r="E541">
        <f>'Clothing calculations'!E116</f>
        <v>2.5413504031689942E-3</v>
      </c>
      <c r="F541">
        <f>'Clothing calculations'!F116</f>
        <v>3</v>
      </c>
      <c r="G541" t="str">
        <f>'Clothing calculations'!G116</f>
        <v>See shoesole wear calculation in clothing tab of MainInputFile</v>
      </c>
      <c r="H541">
        <f>'Clothing calculations'!H116</f>
        <v>1</v>
      </c>
      <c r="I541">
        <f>'Clothing calculations'!I116</f>
        <v>2</v>
      </c>
      <c r="J541">
        <f>'Clothing calculations'!J116</f>
        <v>2</v>
      </c>
      <c r="K541">
        <f>'Clothing calculations'!K116</f>
        <v>2</v>
      </c>
      <c r="L541">
        <f>'Clothing calculations'!L116</f>
        <v>2</v>
      </c>
      <c r="M541">
        <f>'Clothing calculations'!M116</f>
        <v>3</v>
      </c>
    </row>
    <row r="542" spans="1:13">
      <c r="A542" t="s">
        <v>2053</v>
      </c>
      <c r="B542" t="str">
        <f>'Clothing calculations'!B117</f>
        <v>Footwear wearing (soles)</v>
      </c>
      <c r="C542" t="str">
        <f>'Clothing calculations'!C117</f>
        <v>any</v>
      </c>
      <c r="D542" t="str">
        <f>'Clothing calculations'!D117</f>
        <v>PUR</v>
      </c>
      <c r="E542">
        <f>'Clothing calculations'!E117</f>
        <v>5.0827008063379885E-3</v>
      </c>
      <c r="F542">
        <f>'Clothing calculations'!F117</f>
        <v>3</v>
      </c>
      <c r="G542" t="str">
        <f>'Clothing calculations'!G117</f>
        <v>See shoesole wear calculation in clothing tab of MainInputFile</v>
      </c>
      <c r="H542">
        <f>'Clothing calculations'!H117</f>
        <v>1</v>
      </c>
      <c r="I542">
        <f>'Clothing calculations'!I117</f>
        <v>2</v>
      </c>
      <c r="J542">
        <f>'Clothing calculations'!J117</f>
        <v>2</v>
      </c>
      <c r="K542">
        <f>'Clothing calculations'!K117</f>
        <v>2</v>
      </c>
      <c r="L542">
        <f>'Clothing calculations'!L117</f>
        <v>2</v>
      </c>
      <c r="M542">
        <f>'Clothing calculations'!M117</f>
        <v>3</v>
      </c>
    </row>
    <row r="543" spans="1:13">
      <c r="A543" t="s">
        <v>2053</v>
      </c>
      <c r="B543" t="str">
        <f>'Clothing calculations'!B118</f>
        <v>Footwear wearing (soles)</v>
      </c>
      <c r="C543" t="str">
        <f>'Clothing calculations'!C118</f>
        <v>any</v>
      </c>
      <c r="D543" t="str">
        <f>'Clothing calculations'!D118</f>
        <v>OTHER</v>
      </c>
      <c r="E543">
        <f>'Clothing calculations'!E118</f>
        <v>2.6370870403593857E-3</v>
      </c>
      <c r="F543">
        <f>'Clothing calculations'!F118</f>
        <v>3</v>
      </c>
      <c r="G543" t="str">
        <f>'Clothing calculations'!G118</f>
        <v>See shoesole wear calculation in clothing tab of MainInputFile</v>
      </c>
      <c r="H543">
        <f>'Clothing calculations'!H118</f>
        <v>1</v>
      </c>
      <c r="I543">
        <f>'Clothing calculations'!I118</f>
        <v>2</v>
      </c>
      <c r="J543">
        <f>'Clothing calculations'!J118</f>
        <v>2</v>
      </c>
      <c r="K543">
        <f>'Clothing calculations'!K118</f>
        <v>2</v>
      </c>
      <c r="L543">
        <f>'Clothing calculations'!L118</f>
        <v>2</v>
      </c>
      <c r="M543">
        <f>'Clothing calculations'!M118</f>
        <v>3</v>
      </c>
    </row>
    <row r="544" spans="1:13">
      <c r="A544" t="s">
        <v>2053</v>
      </c>
      <c r="B544" t="str">
        <f>'Clothing calculations'!B119</f>
        <v>Footwear wearing (soles)</v>
      </c>
      <c r="C544" t="str">
        <f>'Clothing calculations'!C119</f>
        <v>any</v>
      </c>
      <c r="D544" t="str">
        <f>'Clothing calculations'!D119</f>
        <v>OTHER</v>
      </c>
      <c r="E544">
        <f>'Clothing calculations'!E119</f>
        <v>5.2741740807187715E-3</v>
      </c>
      <c r="F544">
        <f>'Clothing calculations'!F119</f>
        <v>3</v>
      </c>
      <c r="G544" t="str">
        <f>'Clothing calculations'!G119</f>
        <v>See shoesole wear calculation in clothing tab of MainInputFile</v>
      </c>
      <c r="H544">
        <f>'Clothing calculations'!H119</f>
        <v>1</v>
      </c>
      <c r="I544">
        <f>'Clothing calculations'!I119</f>
        <v>2</v>
      </c>
      <c r="J544">
        <f>'Clothing calculations'!J119</f>
        <v>2</v>
      </c>
      <c r="K544">
        <f>'Clothing calculations'!K119</f>
        <v>2</v>
      </c>
      <c r="L544">
        <f>'Clothing calculations'!L119</f>
        <v>2</v>
      </c>
      <c r="M544">
        <f>'Clothing calculations'!M119</f>
        <v>3</v>
      </c>
    </row>
    <row r="545" spans="1:13">
      <c r="A545" t="s">
        <v>2053</v>
      </c>
      <c r="B545" t="str">
        <f>'Clothing calculations'!B120</f>
        <v>Footwear wearing (soles)</v>
      </c>
      <c r="C545" t="str">
        <f>'Clothing calculations'!C120</f>
        <v>any</v>
      </c>
      <c r="D545" t="str">
        <f>'Clothing calculations'!D120</f>
        <v>PVC</v>
      </c>
      <c r="E545">
        <f>'Clothing calculations'!E120</f>
        <v>3.2506855134566658E-3</v>
      </c>
      <c r="F545">
        <f>'Clothing calculations'!F120</f>
        <v>3</v>
      </c>
      <c r="G545" t="str">
        <f>'Clothing calculations'!G120</f>
        <v>See shoesole wear calculation in clothing tab of MainInputFile</v>
      </c>
      <c r="H545">
        <f>'Clothing calculations'!H120</f>
        <v>1</v>
      </c>
      <c r="I545">
        <f>'Clothing calculations'!I120</f>
        <v>2</v>
      </c>
      <c r="J545">
        <f>'Clothing calculations'!J120</f>
        <v>2</v>
      </c>
      <c r="K545">
        <f>'Clothing calculations'!K120</f>
        <v>2</v>
      </c>
      <c r="L545">
        <f>'Clothing calculations'!L120</f>
        <v>2</v>
      </c>
      <c r="M545">
        <f>'Clothing calculations'!M120</f>
        <v>3</v>
      </c>
    </row>
    <row r="546" spans="1:13">
      <c r="A546" t="s">
        <v>2053</v>
      </c>
      <c r="B546" t="str">
        <f>'Clothing calculations'!B121</f>
        <v>Footwear wearing (soles)</v>
      </c>
      <c r="C546" t="str">
        <f>'Clothing calculations'!C121</f>
        <v>any</v>
      </c>
      <c r="D546" t="str">
        <f>'Clothing calculations'!D121</f>
        <v>PVC</v>
      </c>
      <c r="E546">
        <f>'Clothing calculations'!E121</f>
        <v>6.5013710269133315E-3</v>
      </c>
      <c r="F546">
        <f>'Clothing calculations'!F121</f>
        <v>3</v>
      </c>
      <c r="G546" t="str">
        <f>'Clothing calculations'!G121</f>
        <v>See shoesole wear calculation in clothing tab of MainInputFile</v>
      </c>
      <c r="H546">
        <f>'Clothing calculations'!H121</f>
        <v>1</v>
      </c>
      <c r="I546">
        <f>'Clothing calculations'!I121</f>
        <v>2</v>
      </c>
      <c r="J546">
        <f>'Clothing calculations'!J121</f>
        <v>2</v>
      </c>
      <c r="K546">
        <f>'Clothing calculations'!K121</f>
        <v>2</v>
      </c>
      <c r="L546">
        <f>'Clothing calculations'!L121</f>
        <v>2</v>
      </c>
      <c r="M546">
        <f>'Clothing calculations'!M121</f>
        <v>3</v>
      </c>
    </row>
    <row r="547" spans="1:13">
      <c r="A547" t="s">
        <v>2053</v>
      </c>
      <c r="B547" t="str">
        <f>'Clothing calculations'!B122</f>
        <v>Footwear wearing (uppers)</v>
      </c>
      <c r="C547" t="str">
        <f>'Clothing calculations'!C122</f>
        <v>any</v>
      </c>
      <c r="D547" t="str">
        <f>'Clothing calculations'!D122</f>
        <v>PA</v>
      </c>
      <c r="E547">
        <f>'Clothing calculations'!E122</f>
        <v>3.0249999999999999E-3</v>
      </c>
      <c r="F547">
        <f>'Clothing calculations'!F122</f>
        <v>3</v>
      </c>
      <c r="G547" t="str">
        <f>'Clothing calculations'!G122</f>
        <v>Average loss during wear, Kawecki et al. 2019, SI table 17</v>
      </c>
      <c r="H547">
        <f>'Clothing calculations'!H122</f>
        <v>2</v>
      </c>
      <c r="I547">
        <f>'Clothing calculations'!I122</f>
        <v>2</v>
      </c>
      <c r="J547">
        <f>'Clothing calculations'!J122</f>
        <v>2</v>
      </c>
      <c r="K547">
        <f>'Clothing calculations'!K122</f>
        <v>2</v>
      </c>
      <c r="L547">
        <f>'Clothing calculations'!L122</f>
        <v>2</v>
      </c>
      <c r="M547">
        <f>'Clothing calculations'!M122</f>
        <v>2</v>
      </c>
    </row>
    <row r="548" spans="1:13">
      <c r="A548" t="s">
        <v>2053</v>
      </c>
      <c r="B548" t="str">
        <f>'Clothing calculations'!B123</f>
        <v>Footwear wearing (uppers)</v>
      </c>
      <c r="C548" t="str">
        <f>'Clothing calculations'!C123</f>
        <v>any</v>
      </c>
      <c r="D548" t="str">
        <f>'Clothing calculations'!D123</f>
        <v>PET</v>
      </c>
      <c r="E548">
        <f>'Clothing calculations'!E89*'Clothing calculations'!E85</f>
        <v>3.4544305000000009E-4</v>
      </c>
      <c r="F548">
        <f>'Clothing calculations'!F123</f>
        <v>3</v>
      </c>
      <c r="G548" t="str">
        <f>'Clothing calculations'!G123</f>
        <v>Average loss during wear, Kawecki et al. 2019, SI table 17</v>
      </c>
      <c r="H548">
        <f>'Clothing calculations'!H123</f>
        <v>2</v>
      </c>
      <c r="I548">
        <f>'Clothing calculations'!I123</f>
        <v>2</v>
      </c>
      <c r="J548">
        <f>'Clothing calculations'!J123</f>
        <v>2</v>
      </c>
      <c r="K548">
        <f>'Clothing calculations'!K123</f>
        <v>2</v>
      </c>
      <c r="L548">
        <f>'Clothing calculations'!L123</f>
        <v>2</v>
      </c>
      <c r="M548">
        <f>'Clothing calculations'!M123</f>
        <v>2</v>
      </c>
    </row>
    <row r="549" spans="1:13">
      <c r="A549" t="s">
        <v>2053</v>
      </c>
      <c r="B549" t="str">
        <f>'Clothing calculations'!B89</f>
        <v>Clothing washing</v>
      </c>
      <c r="C549" t="str">
        <f>'Clothing calculations'!C89</f>
        <v>any</v>
      </c>
      <c r="D549" t="str">
        <f>'Clothing calculations'!D89</f>
        <v>any</v>
      </c>
      <c r="E549">
        <f>'Clothing calculations'!E47/'Clothing calculations'!E6</f>
        <v>3.4544305000000009E-4</v>
      </c>
      <c r="F549">
        <f>'Clothing calculations'!F89</f>
        <v>2</v>
      </c>
      <c r="G549" t="str">
        <f>'Clothing calculations'!G89</f>
        <v>Computed from available data from Kawecki et al. (2019) and CBS (2022)</v>
      </c>
      <c r="H549">
        <f>'Clothing calculations'!H89</f>
        <v>2</v>
      </c>
      <c r="I549">
        <f>'Clothing calculations'!I89</f>
        <v>2</v>
      </c>
      <c r="J549">
        <f>'Clothing calculations'!J89</f>
        <v>2</v>
      </c>
      <c r="K549">
        <f>'Clothing calculations'!K89</f>
        <v>2</v>
      </c>
      <c r="L549">
        <f>'Clothing calculations'!L89</f>
        <v>2</v>
      </c>
      <c r="M549">
        <f>'Clothing calculations'!M89</f>
        <v>2</v>
      </c>
    </row>
    <row r="550" spans="1:13">
      <c r="A550" t="s">
        <v>2054</v>
      </c>
      <c r="B550" t="str">
        <f>'Clothing calculations'!B111</f>
        <v>Footwear waste collection</v>
      </c>
      <c r="C550" t="str">
        <f>'Clothing calculations'!C111</f>
        <v>any</v>
      </c>
      <c r="D550" t="str">
        <f>'Clothing calculations'!D111</f>
        <v>any</v>
      </c>
      <c r="E550">
        <f>'Clothing calculations'!E111</f>
        <v>0.25</v>
      </c>
      <c r="F550">
        <f>'Clothing calculations'!F111</f>
        <v>2</v>
      </c>
      <c r="G550" t="str">
        <f>'Clothing calculations'!G111</f>
        <v>(de Waart et al., 2023)</v>
      </c>
      <c r="H550">
        <f>'Clothing calculations'!H111</f>
        <v>2</v>
      </c>
      <c r="I550">
        <f>'Clothing calculations'!I111</f>
        <v>2</v>
      </c>
      <c r="J550">
        <f>'Clothing calculations'!J111</f>
        <v>2</v>
      </c>
      <c r="K550">
        <f>'Clothing calculations'!K111</f>
        <v>3</v>
      </c>
      <c r="L550">
        <f>'Clothing calculations'!L111</f>
        <v>2</v>
      </c>
      <c r="M550">
        <f>'Clothing calculations'!M111</f>
        <v>2</v>
      </c>
    </row>
    <row r="551" spans="1:13">
      <c r="A551" t="s">
        <v>2054</v>
      </c>
      <c r="B551" t="str">
        <f>'Clothing calculations'!B112</f>
        <v>Mixed waste collection</v>
      </c>
      <c r="C551" t="str">
        <f>'Clothing calculations'!C112</f>
        <v>any</v>
      </c>
      <c r="D551" t="str">
        <f>'Clothing calculations'!D112</f>
        <v>any</v>
      </c>
      <c r="E551" t="str">
        <f>'Clothing calculations'!E112</f>
        <v>rest</v>
      </c>
      <c r="F551">
        <f>'Clothing calculations'!F112</f>
        <v>1</v>
      </c>
    </row>
    <row r="552" spans="1:13">
      <c r="A552" t="s">
        <v>2054</v>
      </c>
      <c r="B552" t="str">
        <f>'Clothing calculations'!B113</f>
        <v>Dumping</v>
      </c>
      <c r="C552" t="str">
        <f>'Clothing calculations'!C113</f>
        <v>any</v>
      </c>
      <c r="D552" t="str">
        <f>'Clothing calculations'!D113</f>
        <v>any</v>
      </c>
      <c r="E552">
        <f>'Clothing calculations'!E113</f>
        <v>2.6918324999999996E-4</v>
      </c>
      <c r="F552">
        <f>'Clothing calculations'!F113</f>
        <v>2</v>
      </c>
      <c r="G552" t="str">
        <f>'Clothing calculations'!G113</f>
        <v>Kawecki &amp; Nowack (2019)</v>
      </c>
      <c r="H552">
        <f>'Clothing calculations'!H113</f>
        <v>2</v>
      </c>
      <c r="I552">
        <f>'Clothing calculations'!I113</f>
        <v>2</v>
      </c>
      <c r="J552">
        <f>'Clothing calculations'!J113</f>
        <v>2</v>
      </c>
      <c r="K552">
        <f>'Clothing calculations'!K113</f>
        <v>3</v>
      </c>
      <c r="L552">
        <f>'Clothing calculations'!L113</f>
        <v>3</v>
      </c>
      <c r="M552">
        <f>'Clothing calculations'!M113</f>
        <v>3</v>
      </c>
    </row>
    <row r="553" spans="1:13">
      <c r="A553" t="s">
        <v>2054</v>
      </c>
      <c r="B553" t="str">
        <f>'Clothing calculations'!B114</f>
        <v>Footwear wearing (soles)</v>
      </c>
      <c r="C553" t="str">
        <f>'Clothing calculations'!C114</f>
        <v>any</v>
      </c>
      <c r="D553" t="str">
        <f>'Clothing calculations'!D114</f>
        <v>RUBBER</v>
      </c>
      <c r="E553">
        <f>'Clothing calculations'!E114</f>
        <v>5.7712387375211246E-3</v>
      </c>
      <c r="F553">
        <f>'Clothing calculations'!F114</f>
        <v>3</v>
      </c>
      <c r="G553" t="str">
        <f>'Clothing calculations'!G114</f>
        <v>See shoesole wear calculation in clothing tab of MainInputFile</v>
      </c>
      <c r="H553">
        <f>'Clothing calculations'!H114</f>
        <v>1</v>
      </c>
      <c r="I553">
        <f>'Clothing calculations'!I114</f>
        <v>2</v>
      </c>
      <c r="J553">
        <f>'Clothing calculations'!J114</f>
        <v>2</v>
      </c>
      <c r="K553">
        <f>'Clothing calculations'!K114</f>
        <v>2</v>
      </c>
      <c r="L553">
        <f>'Clothing calculations'!L114</f>
        <v>2</v>
      </c>
      <c r="M553">
        <f>'Clothing calculations'!M114</f>
        <v>3</v>
      </c>
    </row>
    <row r="554" spans="1:13">
      <c r="A554" t="s">
        <v>2054</v>
      </c>
      <c r="B554" t="str">
        <f>'Clothing calculations'!B115</f>
        <v>Footwear wearing (soles)</v>
      </c>
      <c r="C554" t="str">
        <f>'Clothing calculations'!C115</f>
        <v>any</v>
      </c>
      <c r="D554" t="str">
        <f>'Clothing calculations'!D115</f>
        <v>RUBBER</v>
      </c>
      <c r="E554">
        <f>'Clothing calculations'!E115</f>
        <v>1.1542477475042249E-2</v>
      </c>
      <c r="F554">
        <f>'Clothing calculations'!F115</f>
        <v>3</v>
      </c>
      <c r="G554" t="str">
        <f>'Clothing calculations'!G115</f>
        <v>See shoesole wear calculation in clothing tab of MainInputFile</v>
      </c>
      <c r="H554">
        <f>'Clothing calculations'!H115</f>
        <v>1</v>
      </c>
      <c r="I554">
        <f>'Clothing calculations'!I115</f>
        <v>2</v>
      </c>
      <c r="J554">
        <f>'Clothing calculations'!J115</f>
        <v>2</v>
      </c>
      <c r="K554">
        <f>'Clothing calculations'!K115</f>
        <v>2</v>
      </c>
      <c r="L554">
        <f>'Clothing calculations'!L115</f>
        <v>2</v>
      </c>
      <c r="M554">
        <f>'Clothing calculations'!M115</f>
        <v>3</v>
      </c>
    </row>
    <row r="555" spans="1:13">
      <c r="A555" t="s">
        <v>2054</v>
      </c>
      <c r="B555" t="str">
        <f>'Clothing calculations'!B116</f>
        <v>Footwear wearing (soles)</v>
      </c>
      <c r="C555" t="str">
        <f>'Clothing calculations'!C116</f>
        <v>any</v>
      </c>
      <c r="D555" t="str">
        <f>'Clothing calculations'!D116</f>
        <v>PUR</v>
      </c>
      <c r="E555">
        <f>'Clothing calculations'!E116</f>
        <v>2.5413504031689942E-3</v>
      </c>
      <c r="F555">
        <f>'Clothing calculations'!F116</f>
        <v>3</v>
      </c>
      <c r="G555" t="str">
        <f>'Clothing calculations'!G116</f>
        <v>See shoesole wear calculation in clothing tab of MainInputFile</v>
      </c>
      <c r="H555">
        <f>'Clothing calculations'!H116</f>
        <v>1</v>
      </c>
      <c r="I555">
        <f>'Clothing calculations'!I116</f>
        <v>2</v>
      </c>
      <c r="J555">
        <f>'Clothing calculations'!J116</f>
        <v>2</v>
      </c>
      <c r="K555">
        <f>'Clothing calculations'!K116</f>
        <v>2</v>
      </c>
      <c r="L555">
        <f>'Clothing calculations'!L116</f>
        <v>2</v>
      </c>
      <c r="M555">
        <f>'Clothing calculations'!M116</f>
        <v>3</v>
      </c>
    </row>
    <row r="556" spans="1:13">
      <c r="A556" t="s">
        <v>2054</v>
      </c>
      <c r="B556" t="str">
        <f>'Clothing calculations'!B117</f>
        <v>Footwear wearing (soles)</v>
      </c>
      <c r="C556" t="str">
        <f>'Clothing calculations'!C117</f>
        <v>any</v>
      </c>
      <c r="D556" t="str">
        <f>'Clothing calculations'!D117</f>
        <v>PUR</v>
      </c>
      <c r="E556">
        <f>'Clothing calculations'!E117</f>
        <v>5.0827008063379885E-3</v>
      </c>
      <c r="F556">
        <f>'Clothing calculations'!F117</f>
        <v>3</v>
      </c>
      <c r="G556" t="str">
        <f>'Clothing calculations'!G117</f>
        <v>See shoesole wear calculation in clothing tab of MainInputFile</v>
      </c>
      <c r="H556">
        <f>'Clothing calculations'!H117</f>
        <v>1</v>
      </c>
      <c r="I556">
        <f>'Clothing calculations'!I117</f>
        <v>2</v>
      </c>
      <c r="J556">
        <f>'Clothing calculations'!J117</f>
        <v>2</v>
      </c>
      <c r="K556">
        <f>'Clothing calculations'!K117</f>
        <v>2</v>
      </c>
      <c r="L556">
        <f>'Clothing calculations'!L117</f>
        <v>2</v>
      </c>
      <c r="M556">
        <f>'Clothing calculations'!M117</f>
        <v>3</v>
      </c>
    </row>
    <row r="557" spans="1:13">
      <c r="A557" t="s">
        <v>2054</v>
      </c>
      <c r="B557" t="str">
        <f>'Clothing calculations'!B118</f>
        <v>Footwear wearing (soles)</v>
      </c>
      <c r="C557" t="str">
        <f>'Clothing calculations'!C118</f>
        <v>any</v>
      </c>
      <c r="D557" t="str">
        <f>'Clothing calculations'!D118</f>
        <v>OTHER</v>
      </c>
      <c r="E557">
        <f>'Clothing calculations'!E118</f>
        <v>2.6370870403593857E-3</v>
      </c>
      <c r="F557">
        <f>'Clothing calculations'!F118</f>
        <v>3</v>
      </c>
      <c r="G557" t="str">
        <f>'Clothing calculations'!G118</f>
        <v>See shoesole wear calculation in clothing tab of MainInputFile</v>
      </c>
      <c r="H557">
        <f>'Clothing calculations'!H118</f>
        <v>1</v>
      </c>
      <c r="I557">
        <f>'Clothing calculations'!I118</f>
        <v>2</v>
      </c>
      <c r="J557">
        <f>'Clothing calculations'!J118</f>
        <v>2</v>
      </c>
      <c r="K557">
        <f>'Clothing calculations'!K118</f>
        <v>2</v>
      </c>
      <c r="L557">
        <f>'Clothing calculations'!L118</f>
        <v>2</v>
      </c>
      <c r="M557">
        <f>'Clothing calculations'!M118</f>
        <v>3</v>
      </c>
    </row>
    <row r="558" spans="1:13">
      <c r="A558" t="s">
        <v>2054</v>
      </c>
      <c r="B558" t="str">
        <f>'Clothing calculations'!B119</f>
        <v>Footwear wearing (soles)</v>
      </c>
      <c r="C558" t="str">
        <f>'Clothing calculations'!C119</f>
        <v>any</v>
      </c>
      <c r="D558" t="str">
        <f>'Clothing calculations'!D119</f>
        <v>OTHER</v>
      </c>
      <c r="E558">
        <f>'Clothing calculations'!E119</f>
        <v>5.2741740807187715E-3</v>
      </c>
      <c r="F558">
        <f>'Clothing calculations'!F119</f>
        <v>3</v>
      </c>
      <c r="G558" t="str">
        <f>'Clothing calculations'!G119</f>
        <v>See shoesole wear calculation in clothing tab of MainInputFile</v>
      </c>
      <c r="H558">
        <f>'Clothing calculations'!H119</f>
        <v>1</v>
      </c>
      <c r="I558">
        <f>'Clothing calculations'!I119</f>
        <v>2</v>
      </c>
      <c r="J558">
        <f>'Clothing calculations'!J119</f>
        <v>2</v>
      </c>
      <c r="K558">
        <f>'Clothing calculations'!K119</f>
        <v>2</v>
      </c>
      <c r="L558">
        <f>'Clothing calculations'!L119</f>
        <v>2</v>
      </c>
      <c r="M558">
        <f>'Clothing calculations'!M119</f>
        <v>3</v>
      </c>
    </row>
    <row r="559" spans="1:13">
      <c r="A559" t="s">
        <v>2054</v>
      </c>
      <c r="B559" t="str">
        <f>'Clothing calculations'!B120</f>
        <v>Footwear wearing (soles)</v>
      </c>
      <c r="C559" t="str">
        <f>'Clothing calculations'!C120</f>
        <v>any</v>
      </c>
      <c r="D559" t="str">
        <f>'Clothing calculations'!D120</f>
        <v>PVC</v>
      </c>
      <c r="E559">
        <f>'Clothing calculations'!E120</f>
        <v>3.2506855134566658E-3</v>
      </c>
      <c r="F559">
        <f>'Clothing calculations'!F120</f>
        <v>3</v>
      </c>
      <c r="G559" t="str">
        <f>'Clothing calculations'!G120</f>
        <v>See shoesole wear calculation in clothing tab of MainInputFile</v>
      </c>
      <c r="H559">
        <f>'Clothing calculations'!H120</f>
        <v>1</v>
      </c>
      <c r="I559">
        <f>'Clothing calculations'!I120</f>
        <v>2</v>
      </c>
      <c r="J559">
        <f>'Clothing calculations'!J120</f>
        <v>2</v>
      </c>
      <c r="K559">
        <f>'Clothing calculations'!K120</f>
        <v>2</v>
      </c>
      <c r="L559">
        <f>'Clothing calculations'!L120</f>
        <v>2</v>
      </c>
      <c r="M559">
        <f>'Clothing calculations'!M120</f>
        <v>3</v>
      </c>
    </row>
    <row r="560" spans="1:13">
      <c r="A560" t="s">
        <v>2054</v>
      </c>
      <c r="B560" t="str">
        <f>'Clothing calculations'!B121</f>
        <v>Footwear wearing (soles)</v>
      </c>
      <c r="C560" t="str">
        <f>'Clothing calculations'!C121</f>
        <v>any</v>
      </c>
      <c r="D560" t="str">
        <f>'Clothing calculations'!D121</f>
        <v>PVC</v>
      </c>
      <c r="E560">
        <f>'Clothing calculations'!E121</f>
        <v>6.5013710269133315E-3</v>
      </c>
      <c r="F560">
        <f>'Clothing calculations'!F121</f>
        <v>3</v>
      </c>
      <c r="G560" t="str">
        <f>'Clothing calculations'!G121</f>
        <v>See shoesole wear calculation in clothing tab of MainInputFile</v>
      </c>
      <c r="H560">
        <f>'Clothing calculations'!H121</f>
        <v>1</v>
      </c>
      <c r="I560">
        <f>'Clothing calculations'!I121</f>
        <v>2</v>
      </c>
      <c r="J560">
        <f>'Clothing calculations'!J121</f>
        <v>2</v>
      </c>
      <c r="K560">
        <f>'Clothing calculations'!K121</f>
        <v>2</v>
      </c>
      <c r="L560">
        <f>'Clothing calculations'!L121</f>
        <v>2</v>
      </c>
      <c r="M560">
        <f>'Clothing calculations'!M121</f>
        <v>3</v>
      </c>
    </row>
    <row r="561" spans="1:868">
      <c r="A561" t="s">
        <v>2054</v>
      </c>
      <c r="B561" t="str">
        <f>'Clothing calculations'!B122</f>
        <v>Footwear wearing (uppers)</v>
      </c>
      <c r="C561" t="str">
        <f>'Clothing calculations'!C122</f>
        <v>any</v>
      </c>
      <c r="D561" t="str">
        <f>'Clothing calculations'!D122</f>
        <v>PA</v>
      </c>
      <c r="E561">
        <f>'Clothing calculations'!E122</f>
        <v>3.0249999999999999E-3</v>
      </c>
      <c r="F561">
        <f>'Clothing calculations'!F122</f>
        <v>3</v>
      </c>
      <c r="G561" t="str">
        <f>'Clothing calculations'!G122</f>
        <v>Average loss during wear, Kawecki et al. 2019, SI table 17</v>
      </c>
      <c r="H561">
        <f>'Clothing calculations'!H122</f>
        <v>2</v>
      </c>
      <c r="I561">
        <f>'Clothing calculations'!I122</f>
        <v>2</v>
      </c>
      <c r="J561">
        <f>'Clothing calculations'!J122</f>
        <v>2</v>
      </c>
      <c r="K561">
        <f>'Clothing calculations'!K122</f>
        <v>2</v>
      </c>
      <c r="L561">
        <f>'Clothing calculations'!L122</f>
        <v>2</v>
      </c>
      <c r="M561">
        <f>'Clothing calculations'!M122</f>
        <v>2</v>
      </c>
    </row>
    <row r="562" spans="1:868">
      <c r="A562" t="s">
        <v>2054</v>
      </c>
      <c r="B562" t="str">
        <f>'Clothing calculations'!B123</f>
        <v>Footwear wearing (uppers)</v>
      </c>
      <c r="C562" t="str">
        <f>'Clothing calculations'!C123</f>
        <v>any</v>
      </c>
      <c r="D562" t="str">
        <f>'Clothing calculations'!D123</f>
        <v>PET</v>
      </c>
      <c r="E562">
        <f>'Clothing calculations'!E123</f>
        <v>3.0249999999999999E-3</v>
      </c>
      <c r="F562">
        <f>'Clothing calculations'!F123</f>
        <v>3</v>
      </c>
      <c r="G562" t="str">
        <f>'Clothing calculations'!G123</f>
        <v>Average loss during wear, Kawecki et al. 2019, SI table 17</v>
      </c>
      <c r="H562">
        <f>'Clothing calculations'!H123</f>
        <v>2</v>
      </c>
      <c r="I562">
        <f>'Clothing calculations'!I123</f>
        <v>2</v>
      </c>
      <c r="J562">
        <f>'Clothing calculations'!J123</f>
        <v>2</v>
      </c>
      <c r="K562">
        <f>'Clothing calculations'!K123</f>
        <v>2</v>
      </c>
      <c r="L562">
        <f>'Clothing calculations'!L123</f>
        <v>2</v>
      </c>
      <c r="M562">
        <f>'Clothing calculations'!M123</f>
        <v>2</v>
      </c>
    </row>
    <row r="564" spans="1:868" s="221" customFormat="1">
      <c r="A564" s="409" t="s">
        <v>2070</v>
      </c>
      <c r="E564" s="932"/>
    </row>
    <row r="565" spans="1:868">
      <c r="A565" t="s">
        <v>2070</v>
      </c>
      <c r="B565" t="s">
        <v>2073</v>
      </c>
      <c r="C565" t="s">
        <v>139</v>
      </c>
      <c r="D565" t="s">
        <v>139</v>
      </c>
      <c r="E565">
        <f>263*10/1788000</f>
        <v>1.470917225950783E-3</v>
      </c>
      <c r="F565">
        <v>2</v>
      </c>
      <c r="G565" t="s">
        <v>2326</v>
      </c>
      <c r="H565">
        <v>3</v>
      </c>
      <c r="I565">
        <v>3</v>
      </c>
      <c r="J565">
        <v>3</v>
      </c>
      <c r="K565">
        <v>3</v>
      </c>
      <c r="L565">
        <v>3</v>
      </c>
      <c r="M565">
        <v>3</v>
      </c>
    </row>
    <row r="566" spans="1:868">
      <c r="A566" t="s">
        <v>2070</v>
      </c>
      <c r="B566" t="s">
        <v>2073</v>
      </c>
      <c r="C566" t="s">
        <v>139</v>
      </c>
      <c r="D566" t="s">
        <v>139</v>
      </c>
      <c r="E566" s="217">
        <f>E565/10</f>
        <v>1.470917225950783E-4</v>
      </c>
      <c r="F566">
        <v>2</v>
      </c>
      <c r="G566" t="s">
        <v>2326</v>
      </c>
      <c r="H566">
        <v>3</v>
      </c>
      <c r="I566">
        <v>3</v>
      </c>
      <c r="J566">
        <v>3</v>
      </c>
      <c r="K566">
        <v>3</v>
      </c>
      <c r="L566">
        <v>3</v>
      </c>
      <c r="M566">
        <v>3</v>
      </c>
    </row>
    <row r="567" spans="1:868">
      <c r="A567" t="s">
        <v>2070</v>
      </c>
      <c r="B567" t="s">
        <v>2074</v>
      </c>
      <c r="C567" t="s">
        <v>139</v>
      </c>
      <c r="D567" t="s">
        <v>139</v>
      </c>
      <c r="E567" s="217" t="s">
        <v>150</v>
      </c>
      <c r="F567">
        <v>1</v>
      </c>
      <c r="G567" t="str">
        <f>'Clothing calculations'!G2</f>
        <v>Watergebruik CBS (2022)</v>
      </c>
    </row>
    <row r="568" spans="1:868">
      <c r="A568" t="s">
        <v>2070</v>
      </c>
      <c r="B568" t="s">
        <v>2075</v>
      </c>
      <c r="C568" t="s">
        <v>139</v>
      </c>
      <c r="D568" t="s">
        <v>139</v>
      </c>
      <c r="E568" s="217">
        <f>'Clothing calculations'!E3</f>
        <v>2.0000000000000018E-2</v>
      </c>
      <c r="F568">
        <v>2</v>
      </c>
      <c r="G568" t="str">
        <f>'Clothing calculations'!G3</f>
        <v>Watergebruik CBS (2022)</v>
      </c>
      <c r="H568">
        <v>1</v>
      </c>
      <c r="I568">
        <v>2</v>
      </c>
      <c r="J568">
        <v>1</v>
      </c>
      <c r="K568">
        <v>2</v>
      </c>
      <c r="L568">
        <v>2</v>
      </c>
      <c r="M568">
        <v>2</v>
      </c>
    </row>
    <row r="569" spans="1:868" s="436" customFormat="1">
      <c r="A569" s="436" t="s">
        <v>2073</v>
      </c>
      <c r="B569" s="436" t="s">
        <v>223</v>
      </c>
      <c r="C569" s="436" t="s">
        <v>139</v>
      </c>
      <c r="D569" s="436" t="s">
        <v>139</v>
      </c>
      <c r="E569" s="217">
        <v>0.25</v>
      </c>
      <c r="F569" s="436">
        <v>2</v>
      </c>
      <c r="G569" s="436" t="s">
        <v>2332</v>
      </c>
      <c r="H569" s="436">
        <v>2</v>
      </c>
      <c r="I569" s="436">
        <v>2</v>
      </c>
      <c r="J569" s="436">
        <v>2</v>
      </c>
      <c r="K569" s="436">
        <v>2</v>
      </c>
      <c r="L569" s="436">
        <v>2</v>
      </c>
      <c r="M569" s="436">
        <v>1</v>
      </c>
    </row>
    <row r="570" spans="1:868" s="436" customFormat="1">
      <c r="A570" s="436" t="s">
        <v>2073</v>
      </c>
      <c r="B570" s="436" t="s">
        <v>223</v>
      </c>
      <c r="C570" s="436" t="s">
        <v>139</v>
      </c>
      <c r="D570" s="436" t="s">
        <v>139</v>
      </c>
      <c r="E570" s="217">
        <v>0.89</v>
      </c>
      <c r="F570" s="436">
        <v>2</v>
      </c>
      <c r="G570" s="436" t="s">
        <v>2332</v>
      </c>
      <c r="H570" s="436">
        <v>2</v>
      </c>
      <c r="I570" s="436">
        <v>2</v>
      </c>
      <c r="J570" s="436">
        <v>2</v>
      </c>
      <c r="K570" s="436">
        <v>2</v>
      </c>
      <c r="L570" s="436">
        <v>2</v>
      </c>
      <c r="M570" s="436">
        <v>1</v>
      </c>
    </row>
    <row r="571" spans="1:868" s="436" customFormat="1">
      <c r="A571" s="436" t="s">
        <v>2073</v>
      </c>
      <c r="B571" s="436" t="s">
        <v>232</v>
      </c>
      <c r="C571" s="436" t="s">
        <v>139</v>
      </c>
      <c r="D571" s="436" t="s">
        <v>139</v>
      </c>
      <c r="E571" s="933" t="s">
        <v>150</v>
      </c>
      <c r="F571" s="436">
        <v>1</v>
      </c>
    </row>
    <row r="572" spans="1:868">
      <c r="A572" t="s">
        <v>2074</v>
      </c>
      <c r="B572" t="s">
        <v>232</v>
      </c>
      <c r="C572" t="s">
        <v>139</v>
      </c>
      <c r="D572" t="s">
        <v>139</v>
      </c>
      <c r="E572" s="217">
        <v>1</v>
      </c>
      <c r="F572">
        <v>1</v>
      </c>
      <c r="H572" s="436">
        <v>0</v>
      </c>
      <c r="I572" s="436">
        <v>0</v>
      </c>
      <c r="J572" s="436">
        <v>0</v>
      </c>
      <c r="K572" s="436">
        <v>0</v>
      </c>
      <c r="L572" s="436">
        <v>0</v>
      </c>
      <c r="M572" s="436">
        <v>0</v>
      </c>
    </row>
    <row r="573" spans="1:868">
      <c r="A573" t="s">
        <v>2075</v>
      </c>
      <c r="B573" t="s">
        <v>232</v>
      </c>
      <c r="C573" t="s">
        <v>139</v>
      </c>
      <c r="D573" t="s">
        <v>139</v>
      </c>
      <c r="E573" s="217">
        <v>1</v>
      </c>
      <c r="F573">
        <v>1</v>
      </c>
      <c r="H573" s="436">
        <v>0</v>
      </c>
      <c r="I573" s="436">
        <v>0</v>
      </c>
      <c r="J573" s="436">
        <v>0</v>
      </c>
      <c r="K573" s="436">
        <v>0</v>
      </c>
      <c r="L573" s="436">
        <v>0</v>
      </c>
      <c r="M573" s="436">
        <v>0</v>
      </c>
    </row>
    <row r="574" spans="1:868">
      <c r="A574" s="900"/>
      <c r="B574" s="900"/>
      <c r="C574" s="900"/>
      <c r="D574" s="900"/>
      <c r="E574" s="934"/>
      <c r="F574" s="900"/>
      <c r="G574" s="900"/>
    </row>
    <row r="575" spans="1:868" s="221" customFormat="1">
      <c r="A575" s="409" t="s">
        <v>2071</v>
      </c>
      <c r="E575" s="932"/>
    </row>
    <row r="576" spans="1:868" s="6" customFormat="1">
      <c r="A576" t="s">
        <v>2071</v>
      </c>
      <c r="B576" t="s">
        <v>228</v>
      </c>
      <c r="C576" t="s">
        <v>139</v>
      </c>
      <c r="D576" t="s">
        <v>139</v>
      </c>
      <c r="E576">
        <v>0.93</v>
      </c>
      <c r="F576">
        <v>2</v>
      </c>
      <c r="G576" t="s">
        <v>163</v>
      </c>
      <c r="H576">
        <v>2</v>
      </c>
      <c r="I576">
        <v>2</v>
      </c>
      <c r="J576">
        <v>2</v>
      </c>
      <c r="K576">
        <v>1</v>
      </c>
      <c r="L576">
        <v>2</v>
      </c>
      <c r="M576">
        <v>2</v>
      </c>
      <c r="N576">
        <f>IF( OR( ISBLANK(H576),ISBLANK(J576), ISBLANK(K576), ISBLANK(L576), ISBLANK(M576) ), "", 1.5*SQRT(   EXP(2.21*(H576-1)) + EXP(2.21*(J576-1)) + EXP(2.21*(K576-1)) + EXP(2.21*(L576-1)) + EXP(2.21*M576)   )/100*2.45 )</f>
        <v>0.38795788889711302</v>
      </c>
      <c r="O576">
        <f>IF( OR( ISBLANK(I576),ISBLANK(J576), ISBLANK(K576), ISBLANK(L576), ISBLANK(M576) ), "", 1.5*SQRT( EXP(2.21*(I576-1)) + EXP(2.21*(J576-1)) + EXP(2.21*(K576-1)) + EXP(2.21*(L576-1)) + EXP(2.21*M576)   )/100*2.45 )</f>
        <v>0.38795788889711302</v>
      </c>
      <c r="P57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c r="JS576" s="16"/>
      <c r="JT576" s="16"/>
      <c r="JU576" s="16"/>
      <c r="JV576" s="16"/>
      <c r="JW576" s="16"/>
      <c r="JX576" s="16"/>
      <c r="JY576" s="16"/>
      <c r="JZ576" s="16"/>
      <c r="KA576" s="16"/>
      <c r="KB576" s="16"/>
      <c r="KC576" s="16"/>
      <c r="KD576" s="16"/>
      <c r="KE576" s="16"/>
      <c r="KF576" s="16"/>
      <c r="KG576" s="16"/>
      <c r="KH576" s="16"/>
      <c r="KI576" s="16"/>
      <c r="KJ576" s="16"/>
      <c r="KK576" s="16"/>
      <c r="KL576" s="16"/>
      <c r="KM576" s="16"/>
      <c r="KN576" s="16"/>
      <c r="KO576" s="16"/>
      <c r="KP576" s="16"/>
      <c r="KQ576" s="16"/>
      <c r="KR576" s="16"/>
      <c r="KS576" s="16"/>
      <c r="KT576" s="16"/>
      <c r="KU576" s="16"/>
      <c r="KV576" s="16"/>
      <c r="KW576" s="16"/>
      <c r="KX576" s="16"/>
      <c r="KY576" s="16"/>
      <c r="KZ576" s="16"/>
      <c r="LA576" s="16"/>
      <c r="LB576" s="16"/>
      <c r="LC576" s="16"/>
      <c r="LD576" s="16"/>
      <c r="LE576" s="16"/>
      <c r="LF576" s="16"/>
      <c r="LG576" s="16"/>
      <c r="LH576" s="16"/>
      <c r="LI576" s="16"/>
      <c r="LJ576" s="16"/>
      <c r="LK576" s="16"/>
      <c r="LL576" s="16"/>
      <c r="LM576" s="16"/>
      <c r="LN576" s="16"/>
      <c r="LO576" s="16"/>
      <c r="LP576" s="16"/>
      <c r="LQ576" s="16"/>
      <c r="LR576" s="16"/>
      <c r="LS576" s="16"/>
      <c r="LT576" s="16"/>
      <c r="LU576" s="16"/>
      <c r="LV576" s="16"/>
      <c r="LW576" s="16"/>
      <c r="LX576" s="16"/>
      <c r="LY576" s="16"/>
      <c r="LZ576" s="16"/>
      <c r="MA576" s="16"/>
      <c r="MB576" s="16"/>
      <c r="MC576" s="16"/>
      <c r="MD576" s="16"/>
      <c r="ME576" s="16"/>
      <c r="MF576" s="16"/>
      <c r="MG576" s="16"/>
      <c r="MH576" s="16"/>
      <c r="MI576" s="16"/>
      <c r="MJ576" s="16"/>
      <c r="MK576" s="16"/>
      <c r="ML576" s="16"/>
      <c r="MM576" s="16"/>
      <c r="MN576" s="16"/>
      <c r="MO576" s="16"/>
      <c r="MP576" s="16"/>
      <c r="MQ576" s="16"/>
      <c r="MR576" s="16"/>
      <c r="MS576" s="16"/>
      <c r="MT576" s="16"/>
      <c r="MU576" s="16"/>
      <c r="MV576" s="16"/>
      <c r="MW576" s="16"/>
      <c r="MX576" s="16"/>
      <c r="MY576" s="16"/>
      <c r="MZ576" s="16"/>
      <c r="NA576" s="16"/>
      <c r="NB576" s="16"/>
      <c r="NC576" s="16"/>
      <c r="ND576" s="16"/>
      <c r="NE576" s="16"/>
      <c r="NF576" s="16"/>
      <c r="NG576" s="16"/>
      <c r="NH576" s="16"/>
      <c r="NI576" s="16"/>
      <c r="NJ576" s="16"/>
      <c r="NK576" s="16"/>
      <c r="NL576" s="16"/>
      <c r="NM576" s="16"/>
      <c r="NN576" s="16"/>
      <c r="NO576" s="16"/>
      <c r="NP576" s="16"/>
      <c r="NQ576" s="16"/>
      <c r="NR576" s="16"/>
      <c r="NS576" s="16"/>
      <c r="NT576" s="16"/>
      <c r="NU576" s="16"/>
      <c r="NV576" s="16"/>
      <c r="NW576" s="16"/>
      <c r="NX576" s="16"/>
      <c r="NY576" s="16"/>
      <c r="NZ576" s="16"/>
      <c r="OA576" s="16"/>
      <c r="OB576" s="16"/>
      <c r="OC576" s="16"/>
      <c r="OD576" s="16"/>
      <c r="OE576" s="16"/>
      <c r="OF576" s="16"/>
      <c r="OG576" s="16"/>
      <c r="OH576" s="16"/>
      <c r="OI576" s="16"/>
      <c r="OJ576" s="16"/>
      <c r="OK576" s="16"/>
      <c r="OL576" s="16"/>
      <c r="OM576" s="16"/>
      <c r="ON576" s="16"/>
      <c r="OO576" s="16"/>
      <c r="OP576" s="16"/>
      <c r="OQ576" s="16"/>
      <c r="OR576" s="16"/>
      <c r="OS576" s="16"/>
      <c r="OT576" s="16"/>
      <c r="OU576" s="16"/>
      <c r="OV576" s="16"/>
      <c r="OW576" s="16"/>
      <c r="OX576" s="16"/>
      <c r="OY576" s="16"/>
      <c r="OZ576" s="16"/>
      <c r="PA576" s="16"/>
      <c r="PB576" s="16"/>
      <c r="PC576" s="16"/>
      <c r="PD576" s="16"/>
      <c r="PE576" s="16"/>
      <c r="PF576" s="16"/>
      <c r="PG576" s="16"/>
      <c r="PH576" s="16"/>
      <c r="PI576" s="16"/>
      <c r="PJ576" s="16"/>
      <c r="PK576" s="16"/>
      <c r="PL576" s="16"/>
      <c r="PM576" s="16"/>
      <c r="PN576" s="16"/>
      <c r="PO576" s="16"/>
      <c r="PP576" s="16"/>
      <c r="PQ576" s="16"/>
      <c r="PR576" s="16"/>
      <c r="PS576" s="16"/>
      <c r="PT576" s="16"/>
      <c r="PU576" s="16"/>
      <c r="PV576" s="16"/>
      <c r="PW576" s="16"/>
      <c r="PX576" s="16"/>
      <c r="PY576" s="16"/>
      <c r="PZ576" s="16"/>
      <c r="QA576" s="16"/>
      <c r="QB576" s="16"/>
      <c r="QC576" s="16"/>
      <c r="QD576" s="16"/>
      <c r="QE576" s="16"/>
      <c r="QF576" s="16"/>
      <c r="QG576" s="16"/>
      <c r="QH576" s="16"/>
      <c r="QI576" s="16"/>
      <c r="QJ576" s="16"/>
      <c r="QK576" s="16"/>
      <c r="QL576" s="16"/>
      <c r="QM576" s="16"/>
      <c r="QN576" s="16"/>
      <c r="QO576" s="16"/>
      <c r="QP576" s="16"/>
      <c r="QQ576" s="16"/>
      <c r="QR576" s="16"/>
      <c r="QS576" s="16"/>
      <c r="QT576" s="16"/>
      <c r="QU576" s="16"/>
      <c r="QV576" s="16"/>
      <c r="QW576" s="16"/>
      <c r="QX576" s="16"/>
      <c r="QY576" s="16"/>
      <c r="QZ576" s="16"/>
      <c r="RA576" s="16"/>
      <c r="RB576" s="16"/>
      <c r="RC576" s="16"/>
      <c r="RD576" s="16"/>
      <c r="RE576" s="16"/>
      <c r="RF576" s="16"/>
      <c r="RG576" s="16"/>
      <c r="RH576" s="16"/>
      <c r="RI576" s="16"/>
      <c r="RJ576" s="16"/>
      <c r="RK576" s="16"/>
      <c r="RL576" s="16"/>
      <c r="RM576" s="16"/>
      <c r="RN576" s="16"/>
      <c r="RO576" s="16"/>
      <c r="RP576" s="16"/>
      <c r="RQ576" s="16"/>
      <c r="RR576" s="16"/>
      <c r="RS576" s="16"/>
      <c r="RT576" s="16"/>
      <c r="RU576" s="16"/>
      <c r="RV576" s="16"/>
      <c r="RW576" s="16"/>
      <c r="RX576" s="16"/>
      <c r="RY576" s="16"/>
      <c r="RZ576" s="16"/>
      <c r="SA576" s="16"/>
      <c r="SB576" s="16"/>
      <c r="SC576" s="16"/>
      <c r="SD576" s="16"/>
      <c r="SE576" s="16"/>
      <c r="SF576" s="16"/>
      <c r="SG576" s="16"/>
      <c r="SH576" s="16"/>
      <c r="SI576" s="16"/>
      <c r="SJ576" s="16"/>
      <c r="SK576" s="16"/>
      <c r="SL576" s="16"/>
      <c r="SM576" s="16"/>
      <c r="SN576" s="16"/>
      <c r="SO576" s="16"/>
      <c r="SP576" s="16"/>
      <c r="SQ576" s="16"/>
      <c r="SR576" s="16"/>
      <c r="SS576" s="16"/>
      <c r="ST576" s="16"/>
      <c r="SU576" s="16"/>
      <c r="SV576" s="16"/>
      <c r="SW576" s="16"/>
      <c r="SX576" s="16"/>
      <c r="SY576" s="16"/>
      <c r="SZ576" s="16"/>
      <c r="TA576" s="16"/>
      <c r="TB576" s="16"/>
      <c r="TC576" s="16"/>
      <c r="TD576" s="16"/>
      <c r="TE576" s="16"/>
      <c r="TF576" s="16"/>
      <c r="TG576" s="16"/>
      <c r="TH576" s="16"/>
      <c r="TI576" s="16"/>
      <c r="TJ576" s="16"/>
      <c r="TK576" s="16"/>
      <c r="TL576" s="16"/>
      <c r="TM576" s="16"/>
      <c r="TN576" s="16"/>
      <c r="TO576" s="16"/>
      <c r="TP576" s="16"/>
      <c r="TQ576" s="16"/>
      <c r="TR576" s="16"/>
      <c r="TS576" s="16"/>
      <c r="TT576" s="16"/>
      <c r="TU576" s="16"/>
      <c r="TV576" s="16"/>
      <c r="TW576" s="16"/>
      <c r="TX576" s="16"/>
      <c r="TY576" s="16"/>
      <c r="TZ576" s="16"/>
      <c r="UA576" s="16"/>
      <c r="UB576" s="16"/>
      <c r="UC576" s="16"/>
      <c r="UD576" s="16"/>
      <c r="UE576" s="16"/>
      <c r="UF576" s="16"/>
      <c r="UG576" s="16"/>
      <c r="UH576" s="16"/>
      <c r="UI576" s="16"/>
      <c r="UJ576" s="16"/>
      <c r="UK576" s="16"/>
      <c r="UL576" s="16"/>
      <c r="UM576" s="16"/>
      <c r="UN576" s="16"/>
      <c r="UO576" s="16"/>
      <c r="UP576" s="16"/>
      <c r="UQ576" s="16"/>
      <c r="UR576" s="16"/>
      <c r="US576" s="16"/>
      <c r="UT576" s="16"/>
      <c r="UU576" s="16"/>
      <c r="UV576" s="16"/>
      <c r="UW576" s="16"/>
      <c r="UX576" s="16"/>
      <c r="UY576" s="16"/>
      <c r="UZ576" s="16"/>
      <c r="VA576" s="16"/>
      <c r="VB576" s="16"/>
      <c r="VC576" s="16"/>
      <c r="VD576" s="16"/>
      <c r="VE576" s="16"/>
      <c r="VF576" s="16"/>
      <c r="VG576" s="16"/>
      <c r="VH576" s="16"/>
      <c r="VI576" s="16"/>
      <c r="VJ576" s="16"/>
      <c r="VK576" s="16"/>
      <c r="VL576" s="16"/>
      <c r="VM576" s="16"/>
      <c r="VN576" s="16"/>
      <c r="VO576" s="16"/>
      <c r="VP576" s="16"/>
      <c r="VQ576" s="16"/>
      <c r="VR576" s="16"/>
      <c r="VS576" s="16"/>
      <c r="VT576" s="16"/>
      <c r="VU576" s="16"/>
      <c r="VV576" s="16"/>
      <c r="VW576" s="16"/>
      <c r="VX576" s="16"/>
      <c r="VY576" s="16"/>
      <c r="VZ576" s="16"/>
      <c r="WA576" s="16"/>
      <c r="WB576" s="16"/>
      <c r="WC576" s="16"/>
      <c r="WD576" s="16"/>
      <c r="WE576" s="16"/>
      <c r="WF576" s="16"/>
      <c r="WG576" s="16"/>
      <c r="WH576" s="16"/>
      <c r="WI576" s="16"/>
      <c r="WJ576" s="16"/>
      <c r="WK576" s="16"/>
      <c r="WL576" s="16"/>
      <c r="WM576" s="16"/>
      <c r="WN576" s="16"/>
      <c r="WO576" s="16"/>
      <c r="WP576" s="16"/>
      <c r="WQ576" s="16"/>
      <c r="WR576" s="16"/>
      <c r="WS576" s="16"/>
      <c r="WT576" s="16"/>
      <c r="WU576" s="16"/>
      <c r="WV576" s="16"/>
      <c r="WW576" s="16"/>
      <c r="WX576" s="16"/>
      <c r="WY576" s="16"/>
      <c r="WZ576" s="16"/>
      <c r="XA576" s="16"/>
      <c r="XB576" s="16"/>
      <c r="XC576" s="16"/>
      <c r="XD576" s="16"/>
      <c r="XE576" s="16"/>
      <c r="XF576" s="16"/>
      <c r="XG576" s="16"/>
      <c r="XH576" s="16"/>
      <c r="XI576" s="16"/>
      <c r="XJ576" s="16"/>
      <c r="XK576" s="16"/>
      <c r="XL576" s="16"/>
      <c r="XM576" s="16"/>
      <c r="XN576" s="16"/>
      <c r="XO576" s="16"/>
      <c r="XP576" s="16"/>
      <c r="XQ576" s="16"/>
      <c r="XR576" s="16"/>
      <c r="XS576" s="16"/>
      <c r="XT576" s="16"/>
      <c r="XU576" s="16"/>
      <c r="XV576" s="16"/>
      <c r="XW576" s="16"/>
      <c r="XX576" s="16"/>
      <c r="XY576" s="16"/>
      <c r="XZ576" s="16"/>
      <c r="YA576" s="16"/>
      <c r="YB576" s="16"/>
      <c r="YC576" s="16"/>
      <c r="YD576" s="16"/>
      <c r="YE576" s="16"/>
      <c r="YF576" s="16"/>
      <c r="YG576" s="16"/>
      <c r="YH576" s="16"/>
      <c r="YI576" s="16"/>
      <c r="YJ576" s="16"/>
      <c r="YK576" s="16"/>
      <c r="YL576" s="16"/>
      <c r="YM576" s="16"/>
      <c r="YN576" s="16"/>
      <c r="YO576" s="16"/>
      <c r="YP576" s="16"/>
      <c r="YQ576" s="16"/>
      <c r="YR576" s="16"/>
      <c r="YS576" s="16"/>
      <c r="YT576" s="16"/>
      <c r="YU576" s="16"/>
      <c r="YV576" s="16"/>
      <c r="YW576" s="16"/>
      <c r="YX576" s="16"/>
      <c r="YY576" s="16"/>
      <c r="YZ576" s="16"/>
      <c r="ZA576" s="16"/>
      <c r="ZB576" s="16"/>
      <c r="ZC576" s="16"/>
      <c r="ZD576" s="16"/>
      <c r="ZE576" s="16"/>
      <c r="ZF576" s="16"/>
      <c r="ZG576" s="16"/>
      <c r="ZH576" s="16"/>
      <c r="ZI576" s="16"/>
      <c r="ZJ576" s="16"/>
      <c r="ZK576" s="16"/>
      <c r="ZL576" s="16"/>
      <c r="ZM576" s="16"/>
      <c r="ZN576" s="16"/>
      <c r="ZO576" s="16"/>
      <c r="ZP576" s="16"/>
      <c r="ZQ576" s="16"/>
      <c r="ZR576" s="16"/>
      <c r="ZS576" s="16"/>
      <c r="ZT576" s="16"/>
      <c r="ZU576" s="16"/>
      <c r="ZV576" s="16"/>
      <c r="ZW576" s="16"/>
      <c r="ZX576" s="16"/>
      <c r="ZY576" s="16"/>
      <c r="ZZ576" s="16"/>
      <c r="AAA576" s="16"/>
      <c r="AAB576" s="16"/>
      <c r="AAC576" s="16"/>
      <c r="AAD576" s="16"/>
      <c r="AAE576" s="16"/>
      <c r="AAF576" s="16"/>
      <c r="AAG576" s="16"/>
      <c r="AAH576" s="16"/>
      <c r="AAI576" s="16"/>
      <c r="AAJ576" s="16"/>
      <c r="AAK576" s="16"/>
      <c r="AAL576" s="16"/>
      <c r="AAM576" s="16"/>
      <c r="AAN576" s="16"/>
      <c r="AAO576" s="16"/>
      <c r="AAP576" s="16"/>
      <c r="AAQ576" s="16"/>
      <c r="AAR576" s="16"/>
      <c r="AAS576" s="16"/>
      <c r="AAT576" s="16"/>
      <c r="AAU576" s="16"/>
      <c r="AAV576" s="16"/>
      <c r="AAW576" s="16"/>
      <c r="AAX576" s="16"/>
      <c r="AAY576" s="16"/>
      <c r="AAZ576" s="16"/>
      <c r="ABA576" s="16"/>
      <c r="ABB576" s="16"/>
      <c r="ABC576" s="16"/>
      <c r="ABD576" s="16"/>
      <c r="ABE576" s="16"/>
      <c r="ABF576" s="16"/>
      <c r="ABG576" s="16"/>
      <c r="ABH576" s="16"/>
      <c r="ABI576" s="16"/>
      <c r="ABJ576" s="16"/>
      <c r="ABK576" s="16"/>
      <c r="ABL576" s="16"/>
      <c r="ABM576" s="16"/>
      <c r="ABN576" s="16"/>
      <c r="ABO576" s="16"/>
      <c r="ABP576" s="16"/>
      <c r="ABQ576" s="16"/>
      <c r="ABR576" s="16"/>
      <c r="ABS576" s="16"/>
      <c r="ABT576" s="16"/>
      <c r="ABU576" s="16"/>
      <c r="ABV576" s="16"/>
      <c r="ABW576" s="16"/>
      <c r="ABX576" s="16"/>
      <c r="ABY576" s="16"/>
      <c r="ABZ576" s="16"/>
      <c r="ACA576" s="16"/>
      <c r="ACB576" s="16"/>
      <c r="ACC576" s="16"/>
      <c r="ACD576" s="16"/>
      <c r="ACE576" s="16"/>
      <c r="ACF576" s="16"/>
      <c r="ACG576" s="16"/>
      <c r="ACH576" s="16"/>
      <c r="ACI576" s="16"/>
      <c r="ACJ576" s="16"/>
      <c r="ACK576" s="16"/>
      <c r="ACL576" s="16"/>
      <c r="ACM576" s="16"/>
      <c r="ACN576" s="16"/>
      <c r="ACO576" s="16"/>
      <c r="ACP576" s="16"/>
      <c r="ACQ576" s="16"/>
      <c r="ACR576" s="16"/>
      <c r="ACS576" s="16"/>
      <c r="ACT576" s="16"/>
      <c r="ACU576" s="16"/>
      <c r="ACV576" s="16"/>
      <c r="ACW576" s="16"/>
      <c r="ACX576" s="16"/>
      <c r="ACY576" s="16"/>
      <c r="ACZ576" s="16"/>
      <c r="ADA576" s="16"/>
      <c r="ADB576" s="16"/>
      <c r="ADC576" s="16"/>
      <c r="ADD576" s="16"/>
      <c r="ADE576" s="16"/>
      <c r="ADF576" s="16"/>
      <c r="ADG576" s="16"/>
      <c r="ADH576" s="16"/>
      <c r="ADI576" s="16"/>
      <c r="ADJ576" s="16"/>
      <c r="ADK576" s="16"/>
      <c r="ADL576" s="16"/>
      <c r="ADM576" s="16"/>
      <c r="ADN576" s="16"/>
      <c r="ADO576" s="16"/>
      <c r="ADP576" s="16"/>
      <c r="ADQ576" s="16"/>
      <c r="ADR576" s="16"/>
      <c r="ADS576" s="16"/>
      <c r="ADT576" s="16"/>
      <c r="ADU576" s="16"/>
      <c r="ADV576" s="16"/>
      <c r="ADW576" s="16"/>
      <c r="ADX576" s="16"/>
      <c r="ADY576" s="16"/>
      <c r="ADZ576" s="16"/>
      <c r="AEA576" s="16"/>
      <c r="AEB576" s="16"/>
      <c r="AEC576" s="16"/>
      <c r="AED576" s="16"/>
      <c r="AEE576" s="16"/>
      <c r="AEF576" s="16"/>
      <c r="AEG576" s="16"/>
      <c r="AEH576" s="16"/>
      <c r="AEI576" s="16"/>
      <c r="AEJ576" s="16"/>
      <c r="AEK576" s="16"/>
      <c r="AEL576" s="16"/>
      <c r="AEM576" s="16"/>
      <c r="AEN576" s="16"/>
      <c r="AEO576" s="16"/>
      <c r="AEP576" s="16"/>
      <c r="AEQ576" s="16"/>
      <c r="AER576" s="16"/>
      <c r="AES576" s="16"/>
      <c r="AET576" s="16"/>
      <c r="AEU576" s="16"/>
      <c r="AEV576" s="16"/>
      <c r="AEW576" s="16"/>
      <c r="AEX576" s="16"/>
      <c r="AEY576" s="16"/>
      <c r="AEZ576" s="16"/>
      <c r="AFA576" s="16"/>
      <c r="AFB576" s="16"/>
      <c r="AFC576" s="16"/>
      <c r="AFD576" s="16"/>
      <c r="AFE576" s="16"/>
      <c r="AFF576" s="16"/>
      <c r="AFG576" s="16"/>
      <c r="AFH576" s="16"/>
      <c r="AFI576" s="16"/>
      <c r="AFJ576" s="16"/>
      <c r="AFK576" s="16"/>
      <c r="AFL576" s="16"/>
      <c r="AFM576" s="16"/>
      <c r="AFN576" s="16"/>
      <c r="AFO576" s="16"/>
      <c r="AFP576" s="16"/>
      <c r="AFQ576" s="16"/>
      <c r="AFR576" s="16"/>
      <c r="AFS576" s="16"/>
      <c r="AFT576" s="16"/>
      <c r="AFU576" s="16"/>
      <c r="AFV576" s="16"/>
      <c r="AFW576" s="16"/>
      <c r="AFX576" s="16"/>
      <c r="AFY576" s="16"/>
      <c r="AFZ576" s="16"/>
      <c r="AGA576" s="16"/>
      <c r="AGB576" s="16"/>
      <c r="AGC576" s="16"/>
      <c r="AGD576" s="16"/>
      <c r="AGE576" s="16"/>
      <c r="AGF576" s="16"/>
      <c r="AGG576" s="16"/>
      <c r="AGH576" s="16"/>
      <c r="AGI576" s="16"/>
      <c r="AGJ576" s="16"/>
    </row>
    <row r="577" spans="1:868" s="6" customFormat="1">
      <c r="A577" t="s">
        <v>2071</v>
      </c>
      <c r="B577" t="s">
        <v>231</v>
      </c>
      <c r="C577" t="s">
        <v>139</v>
      </c>
      <c r="D577" t="s">
        <v>139</v>
      </c>
      <c r="E577" t="s">
        <v>150</v>
      </c>
      <c r="F577">
        <v>1</v>
      </c>
      <c r="G577" t="s">
        <v>163</v>
      </c>
      <c r="H577"/>
      <c r="I577"/>
      <c r="J577"/>
      <c r="K577"/>
      <c r="L577"/>
      <c r="M577"/>
      <c r="N577" t="str">
        <f>IF( OR( ISBLANK(H577),ISBLANK(J577), ISBLANK(K577), ISBLANK(L577), ISBLANK(M577) ), "", 1.5*SQRT(   EXP(2.21*(H577-1)) + EXP(2.21*(J577-1)) + EXP(2.21*(K577-1)) + EXP(2.21*(L577-1)) + EXP(2.21*M577)   )/100*2.45 )</f>
        <v/>
      </c>
      <c r="O577" t="str">
        <f>IF( OR( ISBLANK(I577),ISBLANK(J577), ISBLANK(K577), ISBLANK(L577), ISBLANK(M577) ), "", 1.5*SQRT( EXP(2.21*(I577-1)) + EXP(2.21*(J577-1)) + EXP(2.21*(K577-1)) + EXP(2.21*(L577-1)) + EXP(2.21*M577)   )/100*2.45 )</f>
        <v/>
      </c>
      <c r="P577"/>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c r="JS577" s="16"/>
      <c r="JT577" s="16"/>
      <c r="JU577" s="16"/>
      <c r="JV577" s="16"/>
      <c r="JW577" s="16"/>
      <c r="JX577" s="16"/>
      <c r="JY577" s="16"/>
      <c r="JZ577" s="16"/>
      <c r="KA577" s="16"/>
      <c r="KB577" s="16"/>
      <c r="KC577" s="16"/>
      <c r="KD577" s="16"/>
      <c r="KE577" s="16"/>
      <c r="KF577" s="16"/>
      <c r="KG577" s="16"/>
      <c r="KH577" s="16"/>
      <c r="KI577" s="16"/>
      <c r="KJ577" s="16"/>
      <c r="KK577" s="16"/>
      <c r="KL577" s="16"/>
      <c r="KM577" s="16"/>
      <c r="KN577" s="16"/>
      <c r="KO577" s="16"/>
      <c r="KP577" s="16"/>
      <c r="KQ577" s="16"/>
      <c r="KR577" s="16"/>
      <c r="KS577" s="16"/>
      <c r="KT577" s="16"/>
      <c r="KU577" s="16"/>
      <c r="KV577" s="16"/>
      <c r="KW577" s="16"/>
      <c r="KX577" s="16"/>
      <c r="KY577" s="16"/>
      <c r="KZ577" s="16"/>
      <c r="LA577" s="16"/>
      <c r="LB577" s="16"/>
      <c r="LC577" s="16"/>
      <c r="LD577" s="16"/>
      <c r="LE577" s="16"/>
      <c r="LF577" s="16"/>
      <c r="LG577" s="16"/>
      <c r="LH577" s="16"/>
      <c r="LI577" s="16"/>
      <c r="LJ577" s="16"/>
      <c r="LK577" s="16"/>
      <c r="LL577" s="16"/>
      <c r="LM577" s="16"/>
      <c r="LN577" s="16"/>
      <c r="LO577" s="16"/>
      <c r="LP577" s="16"/>
      <c r="LQ577" s="16"/>
      <c r="LR577" s="16"/>
      <c r="LS577" s="16"/>
      <c r="LT577" s="16"/>
      <c r="LU577" s="16"/>
      <c r="LV577" s="16"/>
      <c r="LW577" s="16"/>
      <c r="LX577" s="16"/>
      <c r="LY577" s="16"/>
      <c r="LZ577" s="16"/>
      <c r="MA577" s="16"/>
      <c r="MB577" s="16"/>
      <c r="MC577" s="16"/>
      <c r="MD577" s="16"/>
      <c r="ME577" s="16"/>
      <c r="MF577" s="16"/>
      <c r="MG577" s="16"/>
      <c r="MH577" s="16"/>
      <c r="MI577" s="16"/>
      <c r="MJ577" s="16"/>
      <c r="MK577" s="16"/>
      <c r="ML577" s="16"/>
      <c r="MM577" s="16"/>
      <c r="MN577" s="16"/>
      <c r="MO577" s="16"/>
      <c r="MP577" s="16"/>
      <c r="MQ577" s="16"/>
      <c r="MR577" s="16"/>
      <c r="MS577" s="16"/>
      <c r="MT577" s="16"/>
      <c r="MU577" s="16"/>
      <c r="MV577" s="16"/>
      <c r="MW577" s="16"/>
      <c r="MX577" s="16"/>
      <c r="MY577" s="16"/>
      <c r="MZ577" s="16"/>
      <c r="NA577" s="16"/>
      <c r="NB577" s="16"/>
      <c r="NC577" s="16"/>
      <c r="ND577" s="16"/>
      <c r="NE577" s="16"/>
      <c r="NF577" s="16"/>
      <c r="NG577" s="16"/>
      <c r="NH577" s="16"/>
      <c r="NI577" s="16"/>
      <c r="NJ577" s="16"/>
      <c r="NK577" s="16"/>
      <c r="NL577" s="16"/>
      <c r="NM577" s="16"/>
      <c r="NN577" s="16"/>
      <c r="NO577" s="16"/>
      <c r="NP577" s="16"/>
      <c r="NQ577" s="16"/>
      <c r="NR577" s="16"/>
      <c r="NS577" s="16"/>
      <c r="NT577" s="16"/>
      <c r="NU577" s="16"/>
      <c r="NV577" s="16"/>
      <c r="NW577" s="16"/>
      <c r="NX577" s="16"/>
      <c r="NY577" s="16"/>
      <c r="NZ577" s="16"/>
      <c r="OA577" s="16"/>
      <c r="OB577" s="16"/>
      <c r="OC577" s="16"/>
      <c r="OD577" s="16"/>
      <c r="OE577" s="16"/>
      <c r="OF577" s="16"/>
      <c r="OG577" s="16"/>
      <c r="OH577" s="16"/>
      <c r="OI577" s="16"/>
      <c r="OJ577" s="16"/>
      <c r="OK577" s="16"/>
      <c r="OL577" s="16"/>
      <c r="OM577" s="16"/>
      <c r="ON577" s="16"/>
      <c r="OO577" s="16"/>
      <c r="OP577" s="16"/>
      <c r="OQ577" s="16"/>
      <c r="OR577" s="16"/>
      <c r="OS577" s="16"/>
      <c r="OT577" s="16"/>
      <c r="OU577" s="16"/>
      <c r="OV577" s="16"/>
      <c r="OW577" s="16"/>
      <c r="OX577" s="16"/>
      <c r="OY577" s="16"/>
      <c r="OZ577" s="16"/>
      <c r="PA577" s="16"/>
      <c r="PB577" s="16"/>
      <c r="PC577" s="16"/>
      <c r="PD577" s="16"/>
      <c r="PE577" s="16"/>
      <c r="PF577" s="16"/>
      <c r="PG577" s="16"/>
      <c r="PH577" s="16"/>
      <c r="PI577" s="16"/>
      <c r="PJ577" s="16"/>
      <c r="PK577" s="16"/>
      <c r="PL577" s="16"/>
      <c r="PM577" s="16"/>
      <c r="PN577" s="16"/>
      <c r="PO577" s="16"/>
      <c r="PP577" s="16"/>
      <c r="PQ577" s="16"/>
      <c r="PR577" s="16"/>
      <c r="PS577" s="16"/>
      <c r="PT577" s="16"/>
      <c r="PU577" s="16"/>
      <c r="PV577" s="16"/>
      <c r="PW577" s="16"/>
      <c r="PX577" s="16"/>
      <c r="PY577" s="16"/>
      <c r="PZ577" s="16"/>
      <c r="QA577" s="16"/>
      <c r="QB577" s="16"/>
      <c r="QC577" s="16"/>
      <c r="QD577" s="16"/>
      <c r="QE577" s="16"/>
      <c r="QF577" s="16"/>
      <c r="QG577" s="16"/>
      <c r="QH577" s="16"/>
      <c r="QI577" s="16"/>
      <c r="QJ577" s="16"/>
      <c r="QK577" s="16"/>
      <c r="QL577" s="16"/>
      <c r="QM577" s="16"/>
      <c r="QN577" s="16"/>
      <c r="QO577" s="16"/>
      <c r="QP577" s="16"/>
      <c r="QQ577" s="16"/>
      <c r="QR577" s="16"/>
      <c r="QS577" s="16"/>
      <c r="QT577" s="16"/>
      <c r="QU577" s="16"/>
      <c r="QV577" s="16"/>
      <c r="QW577" s="16"/>
      <c r="QX577" s="16"/>
      <c r="QY577" s="16"/>
      <c r="QZ577" s="16"/>
      <c r="RA577" s="16"/>
      <c r="RB577" s="16"/>
      <c r="RC577" s="16"/>
      <c r="RD577" s="16"/>
      <c r="RE577" s="16"/>
      <c r="RF577" s="16"/>
      <c r="RG577" s="16"/>
      <c r="RH577" s="16"/>
      <c r="RI577" s="16"/>
      <c r="RJ577" s="16"/>
      <c r="RK577" s="16"/>
      <c r="RL577" s="16"/>
      <c r="RM577" s="16"/>
      <c r="RN577" s="16"/>
      <c r="RO577" s="16"/>
      <c r="RP577" s="16"/>
      <c r="RQ577" s="16"/>
      <c r="RR577" s="16"/>
      <c r="RS577" s="16"/>
      <c r="RT577" s="16"/>
      <c r="RU577" s="16"/>
      <c r="RV577" s="16"/>
      <c r="RW577" s="16"/>
      <c r="RX577" s="16"/>
      <c r="RY577" s="16"/>
      <c r="RZ577" s="16"/>
      <c r="SA577" s="16"/>
      <c r="SB577" s="16"/>
      <c r="SC577" s="16"/>
      <c r="SD577" s="16"/>
      <c r="SE577" s="16"/>
      <c r="SF577" s="16"/>
      <c r="SG577" s="16"/>
      <c r="SH577" s="16"/>
      <c r="SI577" s="16"/>
      <c r="SJ577" s="16"/>
      <c r="SK577" s="16"/>
      <c r="SL577" s="16"/>
      <c r="SM577" s="16"/>
      <c r="SN577" s="16"/>
      <c r="SO577" s="16"/>
      <c r="SP577" s="16"/>
      <c r="SQ577" s="16"/>
      <c r="SR577" s="16"/>
      <c r="SS577" s="16"/>
      <c r="ST577" s="16"/>
      <c r="SU577" s="16"/>
      <c r="SV577" s="16"/>
      <c r="SW577" s="16"/>
      <c r="SX577" s="16"/>
      <c r="SY577" s="16"/>
      <c r="SZ577" s="16"/>
      <c r="TA577" s="16"/>
      <c r="TB577" s="16"/>
      <c r="TC577" s="16"/>
      <c r="TD577" s="16"/>
      <c r="TE577" s="16"/>
      <c r="TF577" s="16"/>
      <c r="TG577" s="16"/>
      <c r="TH577" s="16"/>
      <c r="TI577" s="16"/>
      <c r="TJ577" s="16"/>
      <c r="TK577" s="16"/>
      <c r="TL577" s="16"/>
      <c r="TM577" s="16"/>
      <c r="TN577" s="16"/>
      <c r="TO577" s="16"/>
      <c r="TP577" s="16"/>
      <c r="TQ577" s="16"/>
      <c r="TR577" s="16"/>
      <c r="TS577" s="16"/>
      <c r="TT577" s="16"/>
      <c r="TU577" s="16"/>
      <c r="TV577" s="16"/>
      <c r="TW577" s="16"/>
      <c r="TX577" s="16"/>
      <c r="TY577" s="16"/>
      <c r="TZ577" s="16"/>
      <c r="UA577" s="16"/>
      <c r="UB577" s="16"/>
      <c r="UC577" s="16"/>
      <c r="UD577" s="16"/>
      <c r="UE577" s="16"/>
      <c r="UF577" s="16"/>
      <c r="UG577" s="16"/>
      <c r="UH577" s="16"/>
      <c r="UI577" s="16"/>
      <c r="UJ577" s="16"/>
      <c r="UK577" s="16"/>
      <c r="UL577" s="16"/>
      <c r="UM577" s="16"/>
      <c r="UN577" s="16"/>
      <c r="UO577" s="16"/>
      <c r="UP577" s="16"/>
      <c r="UQ577" s="16"/>
      <c r="UR577" s="16"/>
      <c r="US577" s="16"/>
      <c r="UT577" s="16"/>
      <c r="UU577" s="16"/>
      <c r="UV577" s="16"/>
      <c r="UW577" s="16"/>
      <c r="UX577" s="16"/>
      <c r="UY577" s="16"/>
      <c r="UZ577" s="16"/>
      <c r="VA577" s="16"/>
      <c r="VB577" s="16"/>
      <c r="VC577" s="16"/>
      <c r="VD577" s="16"/>
      <c r="VE577" s="16"/>
      <c r="VF577" s="16"/>
      <c r="VG577" s="16"/>
      <c r="VH577" s="16"/>
      <c r="VI577" s="16"/>
      <c r="VJ577" s="16"/>
      <c r="VK577" s="16"/>
      <c r="VL577" s="16"/>
      <c r="VM577" s="16"/>
      <c r="VN577" s="16"/>
      <c r="VO577" s="16"/>
      <c r="VP577" s="16"/>
      <c r="VQ577" s="16"/>
      <c r="VR577" s="16"/>
      <c r="VS577" s="16"/>
      <c r="VT577" s="16"/>
      <c r="VU577" s="16"/>
      <c r="VV577" s="16"/>
      <c r="VW577" s="16"/>
      <c r="VX577" s="16"/>
      <c r="VY577" s="16"/>
      <c r="VZ577" s="16"/>
      <c r="WA577" s="16"/>
      <c r="WB577" s="16"/>
      <c r="WC577" s="16"/>
      <c r="WD577" s="16"/>
      <c r="WE577" s="16"/>
      <c r="WF577" s="16"/>
      <c r="WG577" s="16"/>
      <c r="WH577" s="16"/>
      <c r="WI577" s="16"/>
      <c r="WJ577" s="16"/>
      <c r="WK577" s="16"/>
      <c r="WL577" s="16"/>
      <c r="WM577" s="16"/>
      <c r="WN577" s="16"/>
      <c r="WO577" s="16"/>
      <c r="WP577" s="16"/>
      <c r="WQ577" s="16"/>
      <c r="WR577" s="16"/>
      <c r="WS577" s="16"/>
      <c r="WT577" s="16"/>
      <c r="WU577" s="16"/>
      <c r="WV577" s="16"/>
      <c r="WW577" s="16"/>
      <c r="WX577" s="16"/>
      <c r="WY577" s="16"/>
      <c r="WZ577" s="16"/>
      <c r="XA577" s="16"/>
      <c r="XB577" s="16"/>
      <c r="XC577" s="16"/>
      <c r="XD577" s="16"/>
      <c r="XE577" s="16"/>
      <c r="XF577" s="16"/>
      <c r="XG577" s="16"/>
      <c r="XH577" s="16"/>
      <c r="XI577" s="16"/>
      <c r="XJ577" s="16"/>
      <c r="XK577" s="16"/>
      <c r="XL577" s="16"/>
      <c r="XM577" s="16"/>
      <c r="XN577" s="16"/>
      <c r="XO577" s="16"/>
      <c r="XP577" s="16"/>
      <c r="XQ577" s="16"/>
      <c r="XR577" s="16"/>
      <c r="XS577" s="16"/>
      <c r="XT577" s="16"/>
      <c r="XU577" s="16"/>
      <c r="XV577" s="16"/>
      <c r="XW577" s="16"/>
      <c r="XX577" s="16"/>
      <c r="XY577" s="16"/>
      <c r="XZ577" s="16"/>
      <c r="YA577" s="16"/>
      <c r="YB577" s="16"/>
      <c r="YC577" s="16"/>
      <c r="YD577" s="16"/>
      <c r="YE577" s="16"/>
      <c r="YF577" s="16"/>
      <c r="YG577" s="16"/>
      <c r="YH577" s="16"/>
      <c r="YI577" s="16"/>
      <c r="YJ577" s="16"/>
      <c r="YK577" s="16"/>
      <c r="YL577" s="16"/>
      <c r="YM577" s="16"/>
      <c r="YN577" s="16"/>
      <c r="YO577" s="16"/>
      <c r="YP577" s="16"/>
      <c r="YQ577" s="16"/>
      <c r="YR577" s="16"/>
      <c r="YS577" s="16"/>
      <c r="YT577" s="16"/>
      <c r="YU577" s="16"/>
      <c r="YV577" s="16"/>
      <c r="YW577" s="16"/>
      <c r="YX577" s="16"/>
      <c r="YY577" s="16"/>
      <c r="YZ577" s="16"/>
      <c r="ZA577" s="16"/>
      <c r="ZB577" s="16"/>
      <c r="ZC577" s="16"/>
      <c r="ZD577" s="16"/>
      <c r="ZE577" s="16"/>
      <c r="ZF577" s="16"/>
      <c r="ZG577" s="16"/>
      <c r="ZH577" s="16"/>
      <c r="ZI577" s="16"/>
      <c r="ZJ577" s="16"/>
      <c r="ZK577" s="16"/>
      <c r="ZL577" s="16"/>
      <c r="ZM577" s="16"/>
      <c r="ZN577" s="16"/>
      <c r="ZO577" s="16"/>
      <c r="ZP577" s="16"/>
      <c r="ZQ577" s="16"/>
      <c r="ZR577" s="16"/>
      <c r="ZS577" s="16"/>
      <c r="ZT577" s="16"/>
      <c r="ZU577" s="16"/>
      <c r="ZV577" s="16"/>
      <c r="ZW577" s="16"/>
      <c r="ZX577" s="16"/>
      <c r="ZY577" s="16"/>
      <c r="ZZ577" s="16"/>
      <c r="AAA577" s="16"/>
      <c r="AAB577" s="16"/>
      <c r="AAC577" s="16"/>
      <c r="AAD577" s="16"/>
      <c r="AAE577" s="16"/>
      <c r="AAF577" s="16"/>
      <c r="AAG577" s="16"/>
      <c r="AAH577" s="16"/>
      <c r="AAI577" s="16"/>
      <c r="AAJ577" s="16"/>
      <c r="AAK577" s="16"/>
      <c r="AAL577" s="16"/>
      <c r="AAM577" s="16"/>
      <c r="AAN577" s="16"/>
      <c r="AAO577" s="16"/>
      <c r="AAP577" s="16"/>
      <c r="AAQ577" s="16"/>
      <c r="AAR577" s="16"/>
      <c r="AAS577" s="16"/>
      <c r="AAT577" s="16"/>
      <c r="AAU577" s="16"/>
      <c r="AAV577" s="16"/>
      <c r="AAW577" s="16"/>
      <c r="AAX577" s="16"/>
      <c r="AAY577" s="16"/>
      <c r="AAZ577" s="16"/>
      <c r="ABA577" s="16"/>
      <c r="ABB577" s="16"/>
      <c r="ABC577" s="16"/>
      <c r="ABD577" s="16"/>
      <c r="ABE577" s="16"/>
      <c r="ABF577" s="16"/>
      <c r="ABG577" s="16"/>
      <c r="ABH577" s="16"/>
      <c r="ABI577" s="16"/>
      <c r="ABJ577" s="16"/>
      <c r="ABK577" s="16"/>
      <c r="ABL577" s="16"/>
      <c r="ABM577" s="16"/>
      <c r="ABN577" s="16"/>
      <c r="ABO577" s="16"/>
      <c r="ABP577" s="16"/>
      <c r="ABQ577" s="16"/>
      <c r="ABR577" s="16"/>
      <c r="ABS577" s="16"/>
      <c r="ABT577" s="16"/>
      <c r="ABU577" s="16"/>
      <c r="ABV577" s="16"/>
      <c r="ABW577" s="16"/>
      <c r="ABX577" s="16"/>
      <c r="ABY577" s="16"/>
      <c r="ABZ577" s="16"/>
      <c r="ACA577" s="16"/>
      <c r="ACB577" s="16"/>
      <c r="ACC577" s="16"/>
      <c r="ACD577" s="16"/>
      <c r="ACE577" s="16"/>
      <c r="ACF577" s="16"/>
      <c r="ACG577" s="16"/>
      <c r="ACH577" s="16"/>
      <c r="ACI577" s="16"/>
      <c r="ACJ577" s="16"/>
      <c r="ACK577" s="16"/>
      <c r="ACL577" s="16"/>
      <c r="ACM577" s="16"/>
      <c r="ACN577" s="16"/>
      <c r="ACO577" s="16"/>
      <c r="ACP577" s="16"/>
      <c r="ACQ577" s="16"/>
      <c r="ACR577" s="16"/>
      <c r="ACS577" s="16"/>
      <c r="ACT577" s="16"/>
      <c r="ACU577" s="16"/>
      <c r="ACV577" s="16"/>
      <c r="ACW577" s="16"/>
      <c r="ACX577" s="16"/>
      <c r="ACY577" s="16"/>
      <c r="ACZ577" s="16"/>
      <c r="ADA577" s="16"/>
      <c r="ADB577" s="16"/>
      <c r="ADC577" s="16"/>
      <c r="ADD577" s="16"/>
      <c r="ADE577" s="16"/>
      <c r="ADF577" s="16"/>
      <c r="ADG577" s="16"/>
      <c r="ADH577" s="16"/>
      <c r="ADI577" s="16"/>
      <c r="ADJ577" s="16"/>
      <c r="ADK577" s="16"/>
      <c r="ADL577" s="16"/>
      <c r="ADM577" s="16"/>
      <c r="ADN577" s="16"/>
      <c r="ADO577" s="16"/>
      <c r="ADP577" s="16"/>
      <c r="ADQ577" s="16"/>
      <c r="ADR577" s="16"/>
      <c r="ADS577" s="16"/>
      <c r="ADT577" s="16"/>
      <c r="ADU577" s="16"/>
      <c r="ADV577" s="16"/>
      <c r="ADW577" s="16"/>
      <c r="ADX577" s="16"/>
      <c r="ADY577" s="16"/>
      <c r="ADZ577" s="16"/>
      <c r="AEA577" s="16"/>
      <c r="AEB577" s="16"/>
      <c r="AEC577" s="16"/>
      <c r="AED577" s="16"/>
      <c r="AEE577" s="16"/>
      <c r="AEF577" s="16"/>
      <c r="AEG577" s="16"/>
      <c r="AEH577" s="16"/>
      <c r="AEI577" s="16"/>
      <c r="AEJ577" s="16"/>
      <c r="AEK577" s="16"/>
      <c r="AEL577" s="16"/>
      <c r="AEM577" s="16"/>
      <c r="AEN577" s="16"/>
      <c r="AEO577" s="16"/>
      <c r="AEP577" s="16"/>
      <c r="AEQ577" s="16"/>
      <c r="AER577" s="16"/>
      <c r="AES577" s="16"/>
      <c r="AET577" s="16"/>
      <c r="AEU577" s="16"/>
      <c r="AEV577" s="16"/>
      <c r="AEW577" s="16"/>
      <c r="AEX577" s="16"/>
      <c r="AEY577" s="16"/>
      <c r="AEZ577" s="16"/>
      <c r="AFA577" s="16"/>
      <c r="AFB577" s="16"/>
      <c r="AFC577" s="16"/>
      <c r="AFD577" s="16"/>
      <c r="AFE577" s="16"/>
      <c r="AFF577" s="16"/>
      <c r="AFG577" s="16"/>
      <c r="AFH577" s="16"/>
      <c r="AFI577" s="16"/>
      <c r="AFJ577" s="16"/>
      <c r="AFK577" s="16"/>
      <c r="AFL577" s="16"/>
      <c r="AFM577" s="16"/>
      <c r="AFN577" s="16"/>
      <c r="AFO577" s="16"/>
      <c r="AFP577" s="16"/>
      <c r="AFQ577" s="16"/>
      <c r="AFR577" s="16"/>
      <c r="AFS577" s="16"/>
      <c r="AFT577" s="16"/>
      <c r="AFU577" s="16"/>
      <c r="AFV577" s="16"/>
      <c r="AFW577" s="16"/>
      <c r="AFX577" s="16"/>
      <c r="AFY577" s="16"/>
      <c r="AFZ577" s="16"/>
      <c r="AGA577" s="16"/>
      <c r="AGB577" s="16"/>
      <c r="AGC577" s="16"/>
      <c r="AGD577" s="16"/>
      <c r="AGE577" s="16"/>
      <c r="AGF577" s="16"/>
      <c r="AGG577" s="16"/>
      <c r="AGH577" s="16"/>
      <c r="AGI577" s="16"/>
      <c r="AGJ577" s="16"/>
    </row>
    <row r="578" spans="1:868">
      <c r="E578" s="217"/>
    </row>
    <row r="579" spans="1:868" s="221" customFormat="1">
      <c r="A579" s="409" t="s">
        <v>2072</v>
      </c>
      <c r="E579" s="932"/>
    </row>
    <row r="580" spans="1:868">
      <c r="A580" t="s">
        <v>2072</v>
      </c>
      <c r="B580" t="s">
        <v>2080</v>
      </c>
      <c r="C580" t="s">
        <v>139</v>
      </c>
      <c r="D580" t="s">
        <v>139</v>
      </c>
      <c r="E580" s="217">
        <v>0.34</v>
      </c>
      <c r="F580">
        <v>1</v>
      </c>
      <c r="G580" s="7" t="s">
        <v>163</v>
      </c>
      <c r="H580">
        <v>2</v>
      </c>
      <c r="I580">
        <v>2</v>
      </c>
      <c r="J580">
        <v>2</v>
      </c>
      <c r="K580">
        <v>3</v>
      </c>
      <c r="L580">
        <v>1</v>
      </c>
      <c r="M580">
        <v>2</v>
      </c>
    </row>
    <row r="581" spans="1:868">
      <c r="A581" t="s">
        <v>2072</v>
      </c>
      <c r="B581" t="s">
        <v>2081</v>
      </c>
      <c r="C581" t="s">
        <v>139</v>
      </c>
      <c r="D581" t="s">
        <v>139</v>
      </c>
      <c r="E581" s="217">
        <v>0.34</v>
      </c>
      <c r="F581">
        <v>1</v>
      </c>
      <c r="G581" s="7" t="s">
        <v>163</v>
      </c>
      <c r="H581">
        <v>2</v>
      </c>
      <c r="I581">
        <v>2</v>
      </c>
      <c r="J581">
        <v>2</v>
      </c>
      <c r="K581">
        <v>3</v>
      </c>
      <c r="L581">
        <v>1</v>
      </c>
      <c r="M581">
        <v>2</v>
      </c>
    </row>
    <row r="582" spans="1:868">
      <c r="A582" t="s">
        <v>2072</v>
      </c>
      <c r="B582" t="s">
        <v>2082</v>
      </c>
      <c r="C582" t="s">
        <v>139</v>
      </c>
      <c r="D582" t="s">
        <v>139</v>
      </c>
      <c r="E582" s="217">
        <v>0.06</v>
      </c>
      <c r="F582">
        <v>2</v>
      </c>
      <c r="G582" s="7" t="s">
        <v>2113</v>
      </c>
      <c r="H582" s="901">
        <v>3</v>
      </c>
      <c r="I582" s="901">
        <v>3</v>
      </c>
      <c r="J582" s="901">
        <v>3</v>
      </c>
      <c r="K582" s="901">
        <v>3</v>
      </c>
      <c r="L582" s="901">
        <v>3</v>
      </c>
      <c r="M582" s="901">
        <v>3</v>
      </c>
      <c r="N582" s="380" t="s">
        <v>2114</v>
      </c>
    </row>
    <row r="583" spans="1:868">
      <c r="A583" t="s">
        <v>2072</v>
      </c>
      <c r="B583" t="s">
        <v>2083</v>
      </c>
      <c r="C583" t="s">
        <v>139</v>
      </c>
      <c r="D583" t="s">
        <v>139</v>
      </c>
      <c r="E583" s="217">
        <v>0.1</v>
      </c>
      <c r="F583">
        <v>2</v>
      </c>
      <c r="G583" s="7" t="s">
        <v>2113</v>
      </c>
      <c r="H583" s="901">
        <v>3</v>
      </c>
      <c r="I583" s="901">
        <v>3</v>
      </c>
      <c r="J583" s="901">
        <v>3</v>
      </c>
      <c r="K583" s="901">
        <v>3</v>
      </c>
      <c r="L583" s="901">
        <v>3</v>
      </c>
      <c r="M583" s="901">
        <v>3</v>
      </c>
      <c r="N583" s="380" t="s">
        <v>2114</v>
      </c>
    </row>
    <row r="584" spans="1:868">
      <c r="A584" t="s">
        <v>2072</v>
      </c>
      <c r="B584" t="s">
        <v>2084</v>
      </c>
      <c r="C584" t="s">
        <v>139</v>
      </c>
      <c r="D584" t="s">
        <v>139</v>
      </c>
      <c r="E584" s="217">
        <v>0.13</v>
      </c>
      <c r="F584">
        <v>2</v>
      </c>
      <c r="G584" s="7" t="s">
        <v>2113</v>
      </c>
      <c r="H584" s="901">
        <v>3</v>
      </c>
      <c r="I584" s="901">
        <v>3</v>
      </c>
      <c r="J584" s="901">
        <v>3</v>
      </c>
      <c r="K584" s="901">
        <v>3</v>
      </c>
      <c r="L584" s="901">
        <v>3</v>
      </c>
      <c r="M584" s="901">
        <v>3</v>
      </c>
      <c r="N584" s="380" t="s">
        <v>2114</v>
      </c>
    </row>
    <row r="585" spans="1:868">
      <c r="A585" t="s">
        <v>2072</v>
      </c>
      <c r="B585" t="s">
        <v>2085</v>
      </c>
      <c r="C585" t="s">
        <v>139</v>
      </c>
      <c r="D585" t="s">
        <v>139</v>
      </c>
      <c r="E585" s="217">
        <v>0.03</v>
      </c>
      <c r="F585">
        <v>2</v>
      </c>
      <c r="G585" s="7" t="s">
        <v>2113</v>
      </c>
      <c r="H585" s="901">
        <v>3</v>
      </c>
      <c r="I585" s="901">
        <v>3</v>
      </c>
      <c r="J585" s="901">
        <v>3</v>
      </c>
      <c r="K585" s="901">
        <v>3</v>
      </c>
      <c r="L585" s="901">
        <v>3</v>
      </c>
      <c r="M585" s="901">
        <v>3</v>
      </c>
      <c r="N585" s="380" t="s">
        <v>2114</v>
      </c>
    </row>
    <row r="586" spans="1:868">
      <c r="A586" s="436" t="s">
        <v>2080</v>
      </c>
      <c r="B586" s="436" t="s">
        <v>228</v>
      </c>
      <c r="C586" s="436" t="s">
        <v>139</v>
      </c>
      <c r="D586" s="436" t="s">
        <v>139</v>
      </c>
      <c r="E586" s="933">
        <v>0.5</v>
      </c>
      <c r="F586" s="436">
        <v>2</v>
      </c>
      <c r="G586" s="436" t="s">
        <v>2112</v>
      </c>
      <c r="H586" s="436">
        <v>3</v>
      </c>
      <c r="I586">
        <v>3</v>
      </c>
      <c r="J586">
        <v>3</v>
      </c>
      <c r="K586">
        <v>3</v>
      </c>
      <c r="L586">
        <v>3</v>
      </c>
      <c r="M586">
        <v>3</v>
      </c>
    </row>
    <row r="587" spans="1:868">
      <c r="A587" s="436" t="s">
        <v>2080</v>
      </c>
      <c r="B587" s="436" t="s">
        <v>303</v>
      </c>
      <c r="C587" s="436" t="s">
        <v>139</v>
      </c>
      <c r="D587" s="436" t="s">
        <v>139</v>
      </c>
      <c r="E587" s="933" t="s">
        <v>150</v>
      </c>
      <c r="F587" s="436">
        <v>1</v>
      </c>
      <c r="G587" s="436" t="s">
        <v>2112</v>
      </c>
      <c r="H587" s="436"/>
    </row>
    <row r="588" spans="1:868" s="900" customFormat="1">
      <c r="A588" s="436" t="s">
        <v>2081</v>
      </c>
      <c r="B588" s="436" t="s">
        <v>231</v>
      </c>
      <c r="C588" s="436" t="s">
        <v>139</v>
      </c>
      <c r="D588" s="436" t="s">
        <v>139</v>
      </c>
      <c r="E588" s="933">
        <v>0.5</v>
      </c>
      <c r="F588" s="436">
        <v>2</v>
      </c>
      <c r="G588" s="436" t="s">
        <v>2112</v>
      </c>
      <c r="H588" s="436">
        <v>3</v>
      </c>
      <c r="I588">
        <v>3</v>
      </c>
      <c r="J588">
        <v>3</v>
      </c>
      <c r="K588">
        <v>3</v>
      </c>
      <c r="L588">
        <v>3</v>
      </c>
      <c r="M588">
        <v>3</v>
      </c>
    </row>
    <row r="589" spans="1:868" s="900" customFormat="1">
      <c r="A589" s="436" t="s">
        <v>2081</v>
      </c>
      <c r="B589" s="436" t="s">
        <v>251</v>
      </c>
      <c r="C589" s="436" t="s">
        <v>139</v>
      </c>
      <c r="D589" s="436" t="s">
        <v>139</v>
      </c>
      <c r="E589" s="933" t="s">
        <v>150</v>
      </c>
      <c r="F589" s="436">
        <v>1</v>
      </c>
      <c r="G589" s="436" t="s">
        <v>2112</v>
      </c>
      <c r="H589" s="436"/>
      <c r="I589"/>
      <c r="J589"/>
      <c r="K589"/>
      <c r="L589"/>
      <c r="M589"/>
    </row>
    <row r="590" spans="1:868">
      <c r="A590" s="436" t="s">
        <v>2082</v>
      </c>
      <c r="B590" s="436" t="s">
        <v>231</v>
      </c>
      <c r="C590" s="436" t="s">
        <v>139</v>
      </c>
      <c r="D590" s="436" t="s">
        <v>139</v>
      </c>
      <c r="E590" s="933">
        <v>0.5</v>
      </c>
      <c r="F590" s="436">
        <v>2</v>
      </c>
      <c r="G590" s="436" t="s">
        <v>2112</v>
      </c>
      <c r="H590" s="436">
        <v>3</v>
      </c>
      <c r="I590">
        <v>3</v>
      </c>
      <c r="J590">
        <v>3</v>
      </c>
      <c r="K590">
        <v>3</v>
      </c>
      <c r="L590">
        <v>3</v>
      </c>
      <c r="M590">
        <v>3</v>
      </c>
    </row>
    <row r="591" spans="1:868">
      <c r="A591" s="436" t="s">
        <v>2082</v>
      </c>
      <c r="B591" s="436" t="s">
        <v>2106</v>
      </c>
      <c r="C591" s="436" t="s">
        <v>139</v>
      </c>
      <c r="D591" s="436" t="s">
        <v>139</v>
      </c>
      <c r="E591" s="933" t="s">
        <v>150</v>
      </c>
      <c r="F591" s="436">
        <v>1</v>
      </c>
      <c r="G591" s="436" t="s">
        <v>2112</v>
      </c>
      <c r="H591" s="436"/>
    </row>
    <row r="592" spans="1:868">
      <c r="A592" s="436" t="s">
        <v>2083</v>
      </c>
      <c r="B592" s="436" t="s">
        <v>232</v>
      </c>
      <c r="C592" s="436" t="s">
        <v>139</v>
      </c>
      <c r="D592" s="436" t="s">
        <v>139</v>
      </c>
      <c r="E592" s="933">
        <v>0.5</v>
      </c>
      <c r="F592" s="436">
        <v>2</v>
      </c>
      <c r="G592" s="436" t="s">
        <v>2112</v>
      </c>
      <c r="H592" s="436">
        <v>3</v>
      </c>
      <c r="I592">
        <v>3</v>
      </c>
      <c r="J592">
        <v>3</v>
      </c>
      <c r="K592">
        <v>3</v>
      </c>
      <c r="L592">
        <v>3</v>
      </c>
      <c r="M592">
        <v>3</v>
      </c>
    </row>
    <row r="593" spans="1:13">
      <c r="A593" s="436" t="s">
        <v>2083</v>
      </c>
      <c r="B593" s="436" t="s">
        <v>2107</v>
      </c>
      <c r="C593" s="436" t="s">
        <v>139</v>
      </c>
      <c r="D593" s="436" t="s">
        <v>139</v>
      </c>
      <c r="E593" s="933" t="s">
        <v>150</v>
      </c>
      <c r="F593" s="436">
        <v>1</v>
      </c>
      <c r="G593" s="436" t="s">
        <v>2112</v>
      </c>
      <c r="H593" s="436"/>
    </row>
    <row r="594" spans="1:13" s="900" customFormat="1">
      <c r="A594" s="436" t="s">
        <v>2084</v>
      </c>
      <c r="B594" s="436" t="s">
        <v>232</v>
      </c>
      <c r="C594" s="436" t="s">
        <v>139</v>
      </c>
      <c r="D594" s="436" t="s">
        <v>139</v>
      </c>
      <c r="E594" s="933">
        <v>0.5</v>
      </c>
      <c r="F594" s="436">
        <v>2</v>
      </c>
      <c r="G594" s="436" t="s">
        <v>2112</v>
      </c>
      <c r="H594" s="436">
        <v>3</v>
      </c>
      <c r="I594">
        <v>3</v>
      </c>
      <c r="J594">
        <v>3</v>
      </c>
      <c r="K594">
        <v>3</v>
      </c>
      <c r="L594">
        <v>3</v>
      </c>
      <c r="M594">
        <v>3</v>
      </c>
    </row>
    <row r="595" spans="1:13" s="900" customFormat="1">
      <c r="A595" s="436" t="s">
        <v>2084</v>
      </c>
      <c r="B595" s="436" t="s">
        <v>2108</v>
      </c>
      <c r="C595" s="436" t="s">
        <v>139</v>
      </c>
      <c r="D595" s="436" t="s">
        <v>139</v>
      </c>
      <c r="E595" s="933" t="s">
        <v>150</v>
      </c>
      <c r="F595" s="436">
        <v>1</v>
      </c>
      <c r="G595" s="436" t="s">
        <v>2112</v>
      </c>
      <c r="H595" s="436"/>
    </row>
    <row r="596" spans="1:13">
      <c r="A596" s="436" t="s">
        <v>2085</v>
      </c>
      <c r="B596" s="436" t="s">
        <v>232</v>
      </c>
      <c r="C596" s="436" t="s">
        <v>139</v>
      </c>
      <c r="D596" s="436" t="s">
        <v>139</v>
      </c>
      <c r="E596" s="933">
        <v>1</v>
      </c>
      <c r="F596" s="436">
        <v>1</v>
      </c>
      <c r="H596" s="436">
        <v>0</v>
      </c>
      <c r="I596">
        <v>0</v>
      </c>
      <c r="J596">
        <v>0</v>
      </c>
      <c r="K596">
        <v>0</v>
      </c>
      <c r="L596">
        <v>0</v>
      </c>
      <c r="M596">
        <v>0</v>
      </c>
    </row>
    <row r="597" spans="1:13">
      <c r="A597" s="436" t="s">
        <v>2106</v>
      </c>
      <c r="B597" s="436" t="s">
        <v>2109</v>
      </c>
      <c r="C597" s="436" t="s">
        <v>139</v>
      </c>
      <c r="D597" s="436" t="s">
        <v>139</v>
      </c>
      <c r="E597" s="217">
        <v>0.625</v>
      </c>
      <c r="F597">
        <v>2</v>
      </c>
      <c r="G597" t="s">
        <v>2110</v>
      </c>
      <c r="H597">
        <v>2</v>
      </c>
      <c r="I597">
        <v>2</v>
      </c>
      <c r="J597">
        <v>1</v>
      </c>
      <c r="K597">
        <v>1</v>
      </c>
      <c r="L597">
        <v>1</v>
      </c>
      <c r="M597">
        <v>1</v>
      </c>
    </row>
    <row r="598" spans="1:13">
      <c r="A598" s="436" t="s">
        <v>2106</v>
      </c>
      <c r="B598" s="436" t="s">
        <v>2111</v>
      </c>
      <c r="C598" s="436" t="s">
        <v>139</v>
      </c>
      <c r="D598" s="436" t="s">
        <v>139</v>
      </c>
      <c r="E598" s="217" t="s">
        <v>150</v>
      </c>
      <c r="F598">
        <v>1</v>
      </c>
    </row>
    <row r="599" spans="1:13">
      <c r="A599" s="436" t="s">
        <v>2107</v>
      </c>
      <c r="B599" s="436" t="s">
        <v>2109</v>
      </c>
      <c r="C599" s="436" t="s">
        <v>139</v>
      </c>
      <c r="D599" s="436" t="s">
        <v>139</v>
      </c>
      <c r="E599" s="217">
        <v>0.83</v>
      </c>
      <c r="F599">
        <v>2</v>
      </c>
      <c r="G599" t="s">
        <v>2110</v>
      </c>
      <c r="H599">
        <v>2</v>
      </c>
      <c r="I599">
        <v>2</v>
      </c>
      <c r="J599">
        <v>1</v>
      </c>
      <c r="K599">
        <v>1</v>
      </c>
      <c r="L599">
        <v>1</v>
      </c>
      <c r="M599">
        <v>1</v>
      </c>
    </row>
    <row r="600" spans="1:13">
      <c r="A600" s="436" t="s">
        <v>2107</v>
      </c>
      <c r="B600" s="436" t="s">
        <v>2111</v>
      </c>
      <c r="C600" s="436" t="s">
        <v>139</v>
      </c>
      <c r="D600" s="436" t="s">
        <v>139</v>
      </c>
      <c r="E600" s="217" t="s">
        <v>150</v>
      </c>
      <c r="F600">
        <v>1</v>
      </c>
    </row>
    <row r="601" spans="1:13">
      <c r="A601" s="436" t="s">
        <v>2108</v>
      </c>
      <c r="B601" s="436" t="s">
        <v>2109</v>
      </c>
      <c r="C601" s="436" t="s">
        <v>139</v>
      </c>
      <c r="D601" s="436" t="s">
        <v>139</v>
      </c>
      <c r="E601" s="217">
        <v>0.67</v>
      </c>
      <c r="F601">
        <v>2</v>
      </c>
      <c r="G601" t="s">
        <v>2110</v>
      </c>
      <c r="H601">
        <v>2</v>
      </c>
      <c r="I601">
        <v>2</v>
      </c>
      <c r="J601">
        <v>1</v>
      </c>
      <c r="K601">
        <v>1</v>
      </c>
      <c r="L601">
        <v>1</v>
      </c>
      <c r="M601">
        <v>1</v>
      </c>
    </row>
    <row r="602" spans="1:13">
      <c r="A602" s="436" t="s">
        <v>2108</v>
      </c>
      <c r="B602" s="436" t="s">
        <v>2111</v>
      </c>
      <c r="C602" s="436" t="s">
        <v>139</v>
      </c>
      <c r="D602" s="436" t="s">
        <v>139</v>
      </c>
      <c r="E602" s="217" t="s">
        <v>150</v>
      </c>
      <c r="F602">
        <v>1</v>
      </c>
    </row>
    <row r="603" spans="1:13">
      <c r="A603" s="436" t="s">
        <v>2109</v>
      </c>
      <c r="B603" s="436" t="s">
        <v>228</v>
      </c>
      <c r="C603" s="436" t="s">
        <v>139</v>
      </c>
      <c r="D603" s="436" t="s">
        <v>139</v>
      </c>
      <c r="E603" s="217">
        <v>0.01</v>
      </c>
      <c r="F603">
        <v>2</v>
      </c>
      <c r="G603" t="s">
        <v>43</v>
      </c>
      <c r="H603">
        <v>3</v>
      </c>
      <c r="I603">
        <v>3</v>
      </c>
      <c r="J603">
        <v>3</v>
      </c>
      <c r="K603">
        <v>3</v>
      </c>
      <c r="L603">
        <v>3</v>
      </c>
      <c r="M603">
        <v>3</v>
      </c>
    </row>
    <row r="604" spans="1:13">
      <c r="A604" s="436" t="s">
        <v>2109</v>
      </c>
      <c r="B604" s="436" t="s">
        <v>223</v>
      </c>
      <c r="C604" s="436" t="s">
        <v>139</v>
      </c>
      <c r="D604" s="436" t="s">
        <v>139</v>
      </c>
      <c r="E604" s="217" t="s">
        <v>150</v>
      </c>
      <c r="F604">
        <v>1</v>
      </c>
    </row>
    <row r="605" spans="1:13">
      <c r="A605" t="s">
        <v>2111</v>
      </c>
      <c r="B605" s="436" t="s">
        <v>228</v>
      </c>
      <c r="C605" s="436" t="s">
        <v>139</v>
      </c>
      <c r="D605" s="436" t="s">
        <v>139</v>
      </c>
      <c r="E605" s="217">
        <v>0.01</v>
      </c>
      <c r="F605">
        <v>2</v>
      </c>
      <c r="G605" t="s">
        <v>43</v>
      </c>
      <c r="H605">
        <v>3</v>
      </c>
      <c r="I605">
        <v>3</v>
      </c>
      <c r="J605">
        <v>3</v>
      </c>
      <c r="K605">
        <v>3</v>
      </c>
      <c r="L605">
        <v>3</v>
      </c>
      <c r="M605">
        <v>3</v>
      </c>
    </row>
    <row r="606" spans="1:13">
      <c r="A606" t="s">
        <v>2111</v>
      </c>
      <c r="B606" t="s">
        <v>232</v>
      </c>
      <c r="C606" s="436" t="s">
        <v>139</v>
      </c>
      <c r="D606" s="436" t="s">
        <v>139</v>
      </c>
      <c r="E606" s="217" t="s">
        <v>150</v>
      </c>
      <c r="F606">
        <v>1</v>
      </c>
    </row>
    <row r="607" spans="1:13">
      <c r="C607" s="436"/>
      <c r="D607" s="436"/>
      <c r="E607" s="217"/>
    </row>
    <row r="608" spans="1:13" s="221" customFormat="1">
      <c r="A608" s="409" t="s">
        <v>2238</v>
      </c>
      <c r="E608" s="932"/>
    </row>
    <row r="609" spans="1:13">
      <c r="A609" t="s">
        <v>2234</v>
      </c>
      <c r="B609" s="436" t="s">
        <v>303</v>
      </c>
      <c r="C609" s="436" t="s">
        <v>139</v>
      </c>
      <c r="D609" s="436" t="s">
        <v>139</v>
      </c>
      <c r="E609" t="s">
        <v>150</v>
      </c>
      <c r="F609" s="436">
        <v>1</v>
      </c>
      <c r="G609" s="436" t="s">
        <v>2240</v>
      </c>
      <c r="H609" s="436"/>
      <c r="I609" s="436"/>
      <c r="J609" s="436"/>
      <c r="K609" s="436"/>
      <c r="L609" s="436"/>
      <c r="M609" s="436"/>
    </row>
    <row r="610" spans="1:13">
      <c r="A610" t="s">
        <v>2234</v>
      </c>
      <c r="B610" s="436" t="s">
        <v>360</v>
      </c>
      <c r="C610" s="436" t="s">
        <v>139</v>
      </c>
      <c r="D610" s="436" t="s">
        <v>139</v>
      </c>
      <c r="E610">
        <v>0.1</v>
      </c>
      <c r="F610" s="436">
        <v>2</v>
      </c>
      <c r="G610" s="436" t="s">
        <v>2241</v>
      </c>
      <c r="H610" s="436">
        <v>3</v>
      </c>
      <c r="I610" s="436">
        <v>3</v>
      </c>
      <c r="J610" s="436">
        <v>3</v>
      </c>
      <c r="K610" s="436">
        <v>3</v>
      </c>
      <c r="L610" s="436">
        <v>3</v>
      </c>
      <c r="M610" s="436">
        <v>3</v>
      </c>
    </row>
    <row r="611" spans="1:13">
      <c r="A611" t="s">
        <v>2234</v>
      </c>
      <c r="B611" s="436" t="s">
        <v>397</v>
      </c>
      <c r="C611" s="436" t="s">
        <v>139</v>
      </c>
      <c r="D611" s="436" t="s">
        <v>139</v>
      </c>
      <c r="E611">
        <v>0.6</v>
      </c>
      <c r="F611" s="436">
        <v>2</v>
      </c>
      <c r="G611" s="436" t="s">
        <v>2240</v>
      </c>
      <c r="H611" s="436">
        <v>3</v>
      </c>
      <c r="I611" s="436">
        <v>3</v>
      </c>
      <c r="J611" s="436">
        <v>3</v>
      </c>
      <c r="K611" s="436">
        <v>3</v>
      </c>
      <c r="L611" s="436">
        <v>3</v>
      </c>
      <c r="M611" s="436">
        <v>3</v>
      </c>
    </row>
    <row r="612" spans="1:13" s="221" customFormat="1">
      <c r="A612" s="409" t="s">
        <v>2239</v>
      </c>
      <c r="E612" s="932"/>
    </row>
    <row r="613" spans="1:13">
      <c r="A613" t="s">
        <v>2235</v>
      </c>
      <c r="B613" s="436" t="s">
        <v>228</v>
      </c>
      <c r="C613" s="436" t="s">
        <v>139</v>
      </c>
      <c r="D613" s="436" t="s">
        <v>139</v>
      </c>
      <c r="E613">
        <f>1-E611-E610</f>
        <v>0.30000000000000004</v>
      </c>
      <c r="F613" s="436">
        <v>2</v>
      </c>
      <c r="G613" s="436" t="s">
        <v>2240</v>
      </c>
      <c r="H613" s="436">
        <v>3</v>
      </c>
      <c r="I613" s="436">
        <v>3</v>
      </c>
      <c r="J613" s="436">
        <v>3</v>
      </c>
      <c r="K613" s="436">
        <v>3</v>
      </c>
      <c r="L613" s="436">
        <v>3</v>
      </c>
      <c r="M613" s="436">
        <v>3</v>
      </c>
    </row>
    <row r="614" spans="1:13">
      <c r="A614" t="s">
        <v>2235</v>
      </c>
      <c r="B614" s="436" t="s">
        <v>231</v>
      </c>
      <c r="C614" s="436" t="s">
        <v>139</v>
      </c>
      <c r="D614" s="436" t="s">
        <v>139</v>
      </c>
      <c r="E614" s="436" t="s">
        <v>150</v>
      </c>
      <c r="F614" s="436">
        <v>1</v>
      </c>
      <c r="G614" s="436" t="s">
        <v>2240</v>
      </c>
    </row>
    <row r="616" spans="1:13" s="1066" customFormat="1">
      <c r="A616" s="1065" t="s">
        <v>21</v>
      </c>
    </row>
    <row r="617" spans="1:13" s="1066" customFormat="1"/>
    <row r="618" spans="1:13">
      <c r="A618" t="s">
        <v>47</v>
      </c>
      <c r="B618" t="s">
        <v>2246</v>
      </c>
      <c r="C618" t="s">
        <v>2144</v>
      </c>
      <c r="D618" t="s">
        <v>104</v>
      </c>
      <c r="E618" s="436" t="s">
        <v>2152</v>
      </c>
      <c r="F618" t="s">
        <v>2153</v>
      </c>
      <c r="H618" t="s">
        <v>101</v>
      </c>
      <c r="I618">
        <v>5</v>
      </c>
      <c r="J618">
        <v>6</v>
      </c>
      <c r="K618">
        <v>7</v>
      </c>
      <c r="L618">
        <v>8</v>
      </c>
    </row>
    <row r="619" spans="1:13">
      <c r="A619" t="s">
        <v>2050</v>
      </c>
      <c r="B619" t="s">
        <v>2145</v>
      </c>
      <c r="C619" s="643">
        <v>2</v>
      </c>
      <c r="D619" t="s">
        <v>2277</v>
      </c>
      <c r="E619">
        <v>5</v>
      </c>
      <c r="F619" s="896">
        <f t="shared" ref="F619:F631" si="83">E619/C619</f>
        <v>2.5</v>
      </c>
      <c r="G619" s="540">
        <f t="shared" ref="G619:G631" si="84">1/C619</f>
        <v>0.5</v>
      </c>
      <c r="H619">
        <v>1</v>
      </c>
      <c r="I619">
        <v>0.3</v>
      </c>
      <c r="J619" s="540">
        <f>I619*(1-$G$628)</f>
        <v>0.25</v>
      </c>
      <c r="K619">
        <f>J619*(1-$G$623)</f>
        <v>0.2142857142857143</v>
      </c>
      <c r="L619">
        <f>K619*(1-$G$622)</f>
        <v>0.1875</v>
      </c>
    </row>
    <row r="620" spans="1:13">
      <c r="A620" t="s">
        <v>2052</v>
      </c>
      <c r="B620" t="s">
        <v>2148</v>
      </c>
      <c r="C620" s="643">
        <v>5</v>
      </c>
      <c r="D620" t="s">
        <v>2277</v>
      </c>
      <c r="E620">
        <v>5</v>
      </c>
      <c r="F620" s="896">
        <f t="shared" si="83"/>
        <v>1</v>
      </c>
      <c r="G620" s="540">
        <f t="shared" si="84"/>
        <v>0.2</v>
      </c>
      <c r="H620">
        <v>2</v>
      </c>
      <c r="I620">
        <v>0.4</v>
      </c>
      <c r="J620" s="540">
        <f>I620*(1-$G$628*I620)</f>
        <v>0.37333333333333335</v>
      </c>
      <c r="K620">
        <f>J620*(1-$G$623*J620)</f>
        <v>0.35342222222222225</v>
      </c>
      <c r="L620">
        <f t="shared" ref="L620:L625" si="85">K620*(1-$G$622*K620)</f>
        <v>0.33780881382716055</v>
      </c>
    </row>
    <row r="621" spans="1:13">
      <c r="A621" t="s">
        <v>2053</v>
      </c>
      <c r="B621" t="s">
        <v>2148</v>
      </c>
      <c r="C621" s="643">
        <v>5</v>
      </c>
      <c r="D621" t="s">
        <v>2277</v>
      </c>
      <c r="E621">
        <v>5</v>
      </c>
      <c r="F621" s="896">
        <f t="shared" si="83"/>
        <v>1</v>
      </c>
      <c r="G621" s="540">
        <f t="shared" si="84"/>
        <v>0.2</v>
      </c>
      <c r="H621">
        <v>3</v>
      </c>
      <c r="I621">
        <v>0.15</v>
      </c>
      <c r="J621" s="540">
        <f>I621*(1-$G$628*I621)</f>
        <v>0.14624999999999999</v>
      </c>
      <c r="K621">
        <f>J621*(1-$G$623*J621)</f>
        <v>0.14319441964285715</v>
      </c>
      <c r="L621">
        <f t="shared" si="85"/>
        <v>0.14063133941575032</v>
      </c>
    </row>
    <row r="622" spans="1:13">
      <c r="A622" t="s">
        <v>2177</v>
      </c>
      <c r="B622" t="s">
        <v>2151</v>
      </c>
      <c r="C622" s="643">
        <v>8</v>
      </c>
      <c r="D622" t="s">
        <v>2277</v>
      </c>
      <c r="E622">
        <v>5</v>
      </c>
      <c r="F622" s="896">
        <f t="shared" si="83"/>
        <v>0.625</v>
      </c>
      <c r="G622" s="540">
        <f t="shared" si="84"/>
        <v>0.125</v>
      </c>
      <c r="H622">
        <v>4</v>
      </c>
      <c r="I622">
        <v>0.1</v>
      </c>
      <c r="J622" s="540">
        <f>I622*(1-$G$628*I622)</f>
        <v>9.8333333333333328E-2</v>
      </c>
      <c r="K622">
        <f>J622*(1-$G$623*J622)</f>
        <v>9.6951984126984123E-2</v>
      </c>
      <c r="L622">
        <f t="shared" si="85"/>
        <v>9.5777023223714244E-2</v>
      </c>
    </row>
    <row r="623" spans="1:13">
      <c r="A623" t="s">
        <v>2178</v>
      </c>
      <c r="B623" t="s">
        <v>2150</v>
      </c>
      <c r="C623" s="643">
        <v>7</v>
      </c>
      <c r="D623" t="s">
        <v>2277</v>
      </c>
      <c r="E623">
        <v>5</v>
      </c>
      <c r="F623" s="896">
        <f t="shared" si="83"/>
        <v>0.7142857142857143</v>
      </c>
      <c r="G623" s="540">
        <f t="shared" si="84"/>
        <v>0.14285714285714285</v>
      </c>
      <c r="H623">
        <v>5</v>
      </c>
      <c r="I623">
        <v>0.05</v>
      </c>
      <c r="J623" s="540">
        <f>I623*(1-$G$628*I623)</f>
        <v>4.958333333333334E-2</v>
      </c>
      <c r="K623">
        <f>J623*(1-$G$623*J623)</f>
        <v>4.9232118055555565E-2</v>
      </c>
      <c r="L623">
        <f t="shared" si="85"/>
        <v>4.8929142874526044E-2</v>
      </c>
    </row>
    <row r="624" spans="1:13">
      <c r="A624" t="s">
        <v>2179</v>
      </c>
      <c r="B624" t="s">
        <v>2146</v>
      </c>
      <c r="C624" s="643">
        <v>3</v>
      </c>
      <c r="D624" t="s">
        <v>2277</v>
      </c>
      <c r="E624">
        <v>5</v>
      </c>
      <c r="F624" s="896">
        <f t="shared" si="83"/>
        <v>1.6666666666666667</v>
      </c>
      <c r="G624" s="540">
        <f t="shared" si="84"/>
        <v>0.33333333333333331</v>
      </c>
      <c r="H624">
        <v>6</v>
      </c>
      <c r="J624" s="540">
        <f>1-SUM(J619:J623)</f>
        <v>8.2500000000000018E-2</v>
      </c>
      <c r="K624">
        <f>J624*(1-$G$623*J624)</f>
        <v>8.1527678571428591E-2</v>
      </c>
      <c r="L624">
        <f t="shared" si="85"/>
        <v>8.0696833274772811E-2</v>
      </c>
    </row>
    <row r="625" spans="1:12">
      <c r="A625" t="s">
        <v>2054</v>
      </c>
      <c r="B625" t="s">
        <v>2148</v>
      </c>
      <c r="C625" s="643">
        <v>5</v>
      </c>
      <c r="D625" t="s">
        <v>2277</v>
      </c>
      <c r="E625">
        <v>5</v>
      </c>
      <c r="F625" s="896">
        <f t="shared" si="83"/>
        <v>1</v>
      </c>
      <c r="G625" s="540">
        <f t="shared" si="84"/>
        <v>0.2</v>
      </c>
      <c r="H625">
        <v>7</v>
      </c>
      <c r="J625" s="540"/>
      <c r="K625">
        <f>1-SUM(K619:K624)</f>
        <v>6.1385863095237969E-2</v>
      </c>
      <c r="L625">
        <f t="shared" si="85"/>
        <v>6.0914835071744562E-2</v>
      </c>
    </row>
    <row r="626" spans="1:12">
      <c r="A626" t="s">
        <v>2180</v>
      </c>
      <c r="B626" t="s">
        <v>2147</v>
      </c>
      <c r="C626" s="643">
        <v>4</v>
      </c>
      <c r="D626" t="s">
        <v>2277</v>
      </c>
      <c r="E626">
        <v>5</v>
      </c>
      <c r="F626" s="896">
        <f t="shared" si="83"/>
        <v>1.25</v>
      </c>
      <c r="G626" s="540">
        <f t="shared" si="84"/>
        <v>0.25</v>
      </c>
      <c r="H626">
        <v>8</v>
      </c>
      <c r="J626" s="540"/>
      <c r="L626">
        <f>(1-SUM(L619:L625))</f>
        <v>4.7742012312331328E-2</v>
      </c>
    </row>
    <row r="627" spans="1:12">
      <c r="A627" t="s">
        <v>2181</v>
      </c>
      <c r="B627" t="s">
        <v>2148</v>
      </c>
      <c r="C627" s="643">
        <v>5</v>
      </c>
      <c r="D627" t="s">
        <v>2277</v>
      </c>
      <c r="E627">
        <v>5</v>
      </c>
      <c r="F627" s="896">
        <f t="shared" si="83"/>
        <v>1</v>
      </c>
      <c r="G627" s="540">
        <f t="shared" si="84"/>
        <v>0.2</v>
      </c>
    </row>
    <row r="628" spans="1:12">
      <c r="A628" t="s">
        <v>2182</v>
      </c>
      <c r="B628" t="s">
        <v>2149</v>
      </c>
      <c r="C628" s="643">
        <v>6</v>
      </c>
      <c r="D628" t="s">
        <v>2277</v>
      </c>
      <c r="E628">
        <v>5</v>
      </c>
      <c r="F628" s="896">
        <f t="shared" si="83"/>
        <v>0.83333333333333337</v>
      </c>
      <c r="G628" s="540">
        <f t="shared" si="84"/>
        <v>0.16666666666666666</v>
      </c>
    </row>
    <row r="629" spans="1:12">
      <c r="A629" t="s">
        <v>2055</v>
      </c>
      <c r="B629" t="s">
        <v>2145</v>
      </c>
      <c r="C629" s="643">
        <v>2</v>
      </c>
      <c r="D629" t="s">
        <v>2277</v>
      </c>
      <c r="E629">
        <v>5</v>
      </c>
      <c r="F629" s="896">
        <f t="shared" si="83"/>
        <v>2.5</v>
      </c>
      <c r="G629" s="540">
        <f t="shared" si="84"/>
        <v>0.5</v>
      </c>
    </row>
    <row r="630" spans="1:12">
      <c r="A630" t="s">
        <v>2056</v>
      </c>
      <c r="B630" t="s">
        <v>2148</v>
      </c>
      <c r="C630" s="643">
        <v>5</v>
      </c>
      <c r="D630" t="s">
        <v>2277</v>
      </c>
      <c r="E630">
        <v>5</v>
      </c>
      <c r="F630" s="896">
        <f t="shared" si="83"/>
        <v>1</v>
      </c>
      <c r="G630" s="540">
        <f t="shared" si="84"/>
        <v>0.2</v>
      </c>
    </row>
    <row r="631" spans="1:12">
      <c r="A631" t="s">
        <v>2057</v>
      </c>
      <c r="B631" t="s">
        <v>2146</v>
      </c>
      <c r="C631" s="643">
        <v>3</v>
      </c>
      <c r="D631" t="s">
        <v>2277</v>
      </c>
      <c r="E631">
        <v>5</v>
      </c>
      <c r="F631" s="896">
        <f t="shared" si="83"/>
        <v>1.6666666666666667</v>
      </c>
      <c r="G631" s="540">
        <f t="shared" si="84"/>
        <v>0.33333333333333331</v>
      </c>
    </row>
  </sheetData>
  <sortState xmlns:xlrd2="http://schemas.microsoft.com/office/spreadsheetml/2017/richdata2" ref="A619:E631">
    <sortCondition ref="A619:A631"/>
  </sortState>
  <mergeCells count="10">
    <mergeCell ref="A616:XFD617"/>
    <mergeCell ref="A1:XFD2"/>
    <mergeCell ref="A17:XFD18"/>
    <mergeCell ref="A106:XFD107"/>
    <mergeCell ref="A348:XFD349"/>
    <mergeCell ref="A410:XFD411"/>
    <mergeCell ref="A480:XFD481"/>
    <mergeCell ref="A334:XFD335"/>
    <mergeCell ref="A282:XFD283"/>
    <mergeCell ref="A194:XFD195"/>
  </mergeCells>
  <phoneticPr fontId="22" type="noConversion"/>
  <conditionalFormatting sqref="D284">
    <cfRule type="cellIs" dxfId="166" priority="1" operator="greaterThan">
      <formula>0</formula>
    </cfRule>
    <cfRule type="cellIs" dxfId="165" priority="2" operator="equal">
      <formula>0</formula>
    </cfRule>
  </conditionalFormatting>
  <conditionalFormatting sqref="H576:M576">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576:M577">
    <cfRule type="cellIs" dxfId="164" priority="25" stopIfTrue="1" operator="notBetween">
      <formula>1</formula>
      <formula>4</formula>
    </cfRule>
  </conditionalFormatting>
  <conditionalFormatting sqref="H577:M577">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576:O577">
    <cfRule type="containsBlanks" dxfId="163" priority="24" stopIfTrue="1">
      <formula>LEN(TRIM(H576))=0</formula>
    </cfRule>
  </conditionalFormatting>
  <conditionalFormatting sqref="K284">
    <cfRule type="containsBlanks" dxfId="162"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576:O576">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577:O577">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576">
    <cfRule type="containsText" dxfId="161" priority="30" operator="containsText" text="Actual TC">
      <formula>NOT(ISERROR(SEARCH("Actual TC",P576)))</formula>
    </cfRule>
  </conditionalFormatting>
  <conditionalFormatting sqref="AC336">
    <cfRule type="containsBlanks" dxfId="160"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H576:M576</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H577:M577</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N576:O576</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N577:O577</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20A1F-5489-41EA-B001-209405F6E644}">
  <sheetPr>
    <tabColor theme="8" tint="0.79998168889431442"/>
  </sheetPr>
  <dimension ref="A1:N192"/>
  <sheetViews>
    <sheetView topLeftCell="A69" workbookViewId="0">
      <selection activeCell="E85" sqref="E85"/>
    </sheetView>
  </sheetViews>
  <sheetFormatPr defaultRowHeight="14.4"/>
  <cols>
    <col min="1" max="1" width="46.33203125" customWidth="1"/>
    <col min="2" max="2" width="33.44140625" bestFit="1" customWidth="1"/>
    <col min="5" max="5" width="12.44140625" bestFit="1" customWidth="1"/>
    <col min="7" max="7" width="66" bestFit="1" customWidth="1"/>
  </cols>
  <sheetData>
    <row r="1" spans="1:7" s="1010" customFormat="1">
      <c r="A1" s="1010" t="s">
        <v>2328</v>
      </c>
    </row>
    <row r="2" spans="1:7" s="1008" customFormat="1">
      <c r="A2" s="1008" t="s">
        <v>2076</v>
      </c>
      <c r="E2" s="1008">
        <v>0.98</v>
      </c>
      <c r="G2" s="1008" t="s">
        <v>2079</v>
      </c>
    </row>
    <row r="3" spans="1:7" s="1008" customFormat="1">
      <c r="A3" s="1008" t="s">
        <v>2077</v>
      </c>
      <c r="E3" s="1008">
        <f>1-E2</f>
        <v>2.0000000000000018E-2</v>
      </c>
      <c r="G3" s="1008" t="s">
        <v>2079</v>
      </c>
    </row>
    <row r="4" spans="1:7" s="1008" customFormat="1">
      <c r="A4" s="1008" t="s">
        <v>2078</v>
      </c>
      <c r="E4" s="1008">
        <v>0.05</v>
      </c>
      <c r="G4" s="1008" t="s">
        <v>157</v>
      </c>
    </row>
    <row r="5" spans="1:7" s="1008" customFormat="1"/>
    <row r="6" spans="1:7" s="1008" customFormat="1">
      <c r="A6" s="1008" t="s">
        <v>2086</v>
      </c>
      <c r="E6" s="1008">
        <v>29</v>
      </c>
      <c r="G6" s="1008" t="s">
        <v>2087</v>
      </c>
    </row>
    <row r="7" spans="1:7" s="1008" customFormat="1">
      <c r="A7" s="1008" t="s">
        <v>2088</v>
      </c>
      <c r="E7" s="1008">
        <v>3.5177500000000008E-4</v>
      </c>
      <c r="G7" s="1008" t="s">
        <v>2087</v>
      </c>
    </row>
    <row r="8" spans="1:7" s="1008" customFormat="1">
      <c r="A8" s="1008" t="s">
        <v>2089</v>
      </c>
      <c r="E8" s="1008">
        <f>E7/10</f>
        <v>3.5177500000000007E-5</v>
      </c>
    </row>
    <row r="9" spans="1:7" s="1008" customFormat="1"/>
    <row r="10" spans="1:7" s="1008" customFormat="1">
      <c r="A10" s="1008" t="s">
        <v>2090</v>
      </c>
      <c r="E10" s="1008">
        <f>E6</f>
        <v>29</v>
      </c>
      <c r="G10" s="1008" t="s">
        <v>2087</v>
      </c>
    </row>
    <row r="11" spans="1:7" s="1008" customFormat="1"/>
    <row r="12" spans="1:7" s="1008" customFormat="1">
      <c r="A12" s="1008" t="s">
        <v>2091</v>
      </c>
      <c r="E12" s="1008">
        <v>0.34</v>
      </c>
      <c r="G12" s="1008" t="s">
        <v>2103</v>
      </c>
    </row>
    <row r="13" spans="1:7" s="1008" customFormat="1">
      <c r="A13" s="1008" t="s">
        <v>2092</v>
      </c>
      <c r="E13" s="1008">
        <v>0.34</v>
      </c>
      <c r="G13" s="1008" t="s">
        <v>2103</v>
      </c>
    </row>
    <row r="14" spans="1:7" s="1008" customFormat="1">
      <c r="A14" s="1008" t="s">
        <v>2093</v>
      </c>
      <c r="E14" s="1008">
        <v>0.06</v>
      </c>
      <c r="G14" s="1008" t="s">
        <v>2103</v>
      </c>
    </row>
    <row r="15" spans="1:7" s="1008" customFormat="1">
      <c r="A15" s="1008" t="s">
        <v>2094</v>
      </c>
      <c r="E15" s="1008">
        <v>0.1</v>
      </c>
      <c r="G15" s="1008" t="s">
        <v>2103</v>
      </c>
    </row>
    <row r="16" spans="1:7" s="1008" customFormat="1">
      <c r="A16" s="1008" t="s">
        <v>2095</v>
      </c>
      <c r="E16" s="1008">
        <v>0.13</v>
      </c>
      <c r="G16" s="1008" t="s">
        <v>2103</v>
      </c>
    </row>
    <row r="17" spans="1:13" s="1008" customFormat="1">
      <c r="A17" s="1008" t="s">
        <v>2096</v>
      </c>
      <c r="E17" s="1008">
        <v>0.03</v>
      </c>
      <c r="G17" s="1008" t="s">
        <v>2103</v>
      </c>
    </row>
    <row r="18" spans="1:13" s="1008" customFormat="1">
      <c r="A18" s="1008" t="s">
        <v>2097</v>
      </c>
      <c r="E18" s="1008">
        <f>E20/10</f>
        <v>4.5500000000000005E-6</v>
      </c>
      <c r="G18" s="1008" t="s">
        <v>2105</v>
      </c>
    </row>
    <row r="19" spans="1:13" s="1008" customFormat="1">
      <c r="A19" s="1008" t="s">
        <v>2098</v>
      </c>
      <c r="E19" s="1008">
        <f>E20/10</f>
        <v>4.5500000000000005E-6</v>
      </c>
      <c r="G19" s="1008" t="s">
        <v>2105</v>
      </c>
    </row>
    <row r="20" spans="1:13" s="1008" customFormat="1">
      <c r="A20" s="1008" t="s">
        <v>2099</v>
      </c>
      <c r="E20" s="1008">
        <v>4.5500000000000001E-5</v>
      </c>
      <c r="G20" s="1008" t="s">
        <v>2104</v>
      </c>
    </row>
    <row r="21" spans="1:13" s="1008" customFormat="1">
      <c r="A21" s="1008" t="s">
        <v>2100</v>
      </c>
      <c r="E21" s="1008">
        <v>4.5500000000000001E-5</v>
      </c>
      <c r="G21" s="1008" t="s">
        <v>2104</v>
      </c>
    </row>
    <row r="22" spans="1:13" s="1008" customFormat="1">
      <c r="A22" s="1008" t="s">
        <v>2101</v>
      </c>
      <c r="E22" s="1008">
        <v>4.5500000000000001E-5</v>
      </c>
      <c r="G22" s="1008" t="s">
        <v>2104</v>
      </c>
    </row>
    <row r="23" spans="1:13" s="1008" customFormat="1">
      <c r="A23" s="1008" t="s">
        <v>2102</v>
      </c>
      <c r="E23" s="1008">
        <v>4.5500000000000001E-5</v>
      </c>
      <c r="G23" s="1008" t="s">
        <v>2104</v>
      </c>
    </row>
    <row r="25" spans="1:13" s="1013" customFormat="1">
      <c r="A25" s="1011" t="s">
        <v>2329</v>
      </c>
      <c r="B25" s="1012"/>
      <c r="C25" s="1012"/>
      <c r="D25" s="1012"/>
      <c r="E25" s="1012"/>
      <c r="F25" s="1012"/>
      <c r="G25" s="1012"/>
      <c r="H25" s="1012"/>
      <c r="I25" s="1012"/>
      <c r="J25" s="1012"/>
      <c r="K25" s="1012"/>
      <c r="L25" s="1012"/>
      <c r="M25" s="1012"/>
    </row>
    <row r="26" spans="1:13" s="1009" customFormat="1">
      <c r="B26" s="1009" t="s">
        <v>2170</v>
      </c>
      <c r="C26" s="1009" t="s">
        <v>2171</v>
      </c>
      <c r="D26" s="1009" t="s">
        <v>2176</v>
      </c>
      <c r="E26" s="1009" t="s">
        <v>2280</v>
      </c>
      <c r="F26" s="1009" t="s">
        <v>2279</v>
      </c>
      <c r="G26" s="1009" t="s">
        <v>2278</v>
      </c>
      <c r="H26" s="1009" t="s">
        <v>2281</v>
      </c>
    </row>
    <row r="27" spans="1:13" s="1009" customFormat="1">
      <c r="A27" s="1009" t="s">
        <v>2168</v>
      </c>
      <c r="B27" s="1009">
        <v>100</v>
      </c>
      <c r="C27" s="1009">
        <f>B27/5700000</f>
        <v>1.7543859649122806E-5</v>
      </c>
      <c r="D27" s="1009">
        <f>C27*'Scaling tables'!$Y$25</f>
        <v>310.54354385964911</v>
      </c>
      <c r="E27" s="1009">
        <f>107.6*1000</f>
        <v>107600</v>
      </c>
      <c r="F27" s="1009">
        <f>D27/E27</f>
        <v>2.8860924150525009E-3</v>
      </c>
      <c r="G27" s="1009">
        <f>104*1000</f>
        <v>104000</v>
      </c>
      <c r="H27" s="1009">
        <f>D27/G27</f>
        <v>2.9859956140350875E-3</v>
      </c>
      <c r="I27" s="1009" t="s">
        <v>2172</v>
      </c>
    </row>
    <row r="28" spans="1:13" s="1009" customFormat="1">
      <c r="A28" s="1009" t="s">
        <v>2169</v>
      </c>
      <c r="B28" s="1009">
        <v>1000</v>
      </c>
      <c r="C28" s="1009">
        <f>B28/5700000</f>
        <v>1.7543859649122806E-4</v>
      </c>
      <c r="D28" s="1009">
        <f>C28*'Scaling tables'!$Y$25</f>
        <v>3105.4354385964912</v>
      </c>
      <c r="E28" s="1009">
        <f>107.6*1000</f>
        <v>107600</v>
      </c>
      <c r="F28" s="1009">
        <f>D28/E28</f>
        <v>2.8860924150525012E-2</v>
      </c>
      <c r="G28" s="1009">
        <f>104*1000</f>
        <v>104000</v>
      </c>
      <c r="H28" s="1009">
        <f>D28/G28</f>
        <v>2.9859956140350877E-2</v>
      </c>
      <c r="I28" s="1009" t="s">
        <v>2172</v>
      </c>
    </row>
    <row r="29" spans="1:13" s="1009" customFormat="1">
      <c r="A29" s="1009" t="s">
        <v>2173</v>
      </c>
      <c r="C29" s="1009">
        <f>109/(10^6)</f>
        <v>1.0900000000000001E-4</v>
      </c>
      <c r="D29" s="1009">
        <f>C29*'Scaling tables'!$Y$25</f>
        <v>1929.4070380000001</v>
      </c>
      <c r="E29" s="1009">
        <f>107.6*1000</f>
        <v>107600</v>
      </c>
      <c r="F29" s="1009">
        <f>D29/E29</f>
        <v>1.793129217472119E-2</v>
      </c>
      <c r="G29" s="1009">
        <f>104*1000</f>
        <v>104000</v>
      </c>
      <c r="H29" s="1009">
        <f>D29/G29</f>
        <v>1.855199075E-2</v>
      </c>
      <c r="I29" s="1009" t="s">
        <v>2174</v>
      </c>
    </row>
    <row r="30" spans="1:13" s="1009" customFormat="1"/>
    <row r="31" spans="1:13" s="1009" customFormat="1">
      <c r="A31" s="1009" t="s">
        <v>2229</v>
      </c>
      <c r="B31" s="1009" t="s">
        <v>2226</v>
      </c>
      <c r="C31" s="1009" t="s">
        <v>139</v>
      </c>
      <c r="D31" s="1009" t="s">
        <v>92</v>
      </c>
      <c r="E31" s="1009">
        <f>'Clothing calculations'!B184</f>
        <v>5.7712387375211246E-3</v>
      </c>
      <c r="G31" s="1009" t="s">
        <v>2231</v>
      </c>
      <c r="H31" s="1009">
        <v>1</v>
      </c>
      <c r="I31" s="1009">
        <v>2</v>
      </c>
      <c r="J31" s="1009">
        <v>2</v>
      </c>
      <c r="K31" s="1009">
        <v>2</v>
      </c>
      <c r="L31" s="1009">
        <v>2</v>
      </c>
      <c r="M31" s="1009">
        <v>3</v>
      </c>
    </row>
    <row r="32" spans="1:13" s="1009" customFormat="1">
      <c r="A32" s="1009" t="s">
        <v>2230</v>
      </c>
      <c r="B32" s="1009" t="s">
        <v>2226</v>
      </c>
      <c r="C32" s="1009" t="s">
        <v>139</v>
      </c>
      <c r="D32" s="1009" t="s">
        <v>92</v>
      </c>
      <c r="E32" s="1009">
        <f>'Clothing calculations'!B185</f>
        <v>1.1542477475042249E-2</v>
      </c>
      <c r="G32" s="1009" t="s">
        <v>2231</v>
      </c>
      <c r="H32" s="1009">
        <v>1</v>
      </c>
      <c r="I32" s="1009">
        <v>2</v>
      </c>
      <c r="J32" s="1009">
        <v>2</v>
      </c>
      <c r="K32" s="1009">
        <v>2</v>
      </c>
      <c r="L32" s="1009">
        <v>2</v>
      </c>
      <c r="M32" s="1009">
        <v>3</v>
      </c>
    </row>
    <row r="33" spans="1:14" s="1009" customFormat="1">
      <c r="A33" s="1009" t="s">
        <v>2229</v>
      </c>
      <c r="B33" s="1009" t="s">
        <v>2226</v>
      </c>
      <c r="C33" s="1009" t="s">
        <v>139</v>
      </c>
      <c r="D33" s="1009" t="s">
        <v>93</v>
      </c>
      <c r="E33" s="1009">
        <f>'Clothing calculations'!C184</f>
        <v>2.5413504031689942E-3</v>
      </c>
      <c r="G33" s="1009" t="s">
        <v>2231</v>
      </c>
      <c r="H33" s="1009">
        <v>1</v>
      </c>
      <c r="I33" s="1009">
        <v>2</v>
      </c>
      <c r="J33" s="1009">
        <v>2</v>
      </c>
      <c r="K33" s="1009">
        <v>2</v>
      </c>
      <c r="L33" s="1009">
        <v>2</v>
      </c>
      <c r="M33" s="1009">
        <v>3</v>
      </c>
    </row>
    <row r="34" spans="1:14" s="1009" customFormat="1">
      <c r="A34" s="1009" t="s">
        <v>2230</v>
      </c>
      <c r="B34" s="1009" t="s">
        <v>2226</v>
      </c>
      <c r="C34" s="1009" t="s">
        <v>139</v>
      </c>
      <c r="D34" s="1009" t="s">
        <v>93</v>
      </c>
      <c r="E34" s="1009">
        <f>'Clothing calculations'!C185</f>
        <v>5.0827008063379885E-3</v>
      </c>
      <c r="G34" s="1009" t="s">
        <v>2231</v>
      </c>
      <c r="H34" s="1009">
        <v>1</v>
      </c>
      <c r="I34" s="1009">
        <v>2</v>
      </c>
      <c r="J34" s="1009">
        <v>2</v>
      </c>
      <c r="K34" s="1009">
        <v>2</v>
      </c>
      <c r="L34" s="1009">
        <v>2</v>
      </c>
      <c r="M34" s="1009">
        <v>3</v>
      </c>
    </row>
    <row r="35" spans="1:14" s="1009" customFormat="1">
      <c r="A35" s="1009" t="s">
        <v>2229</v>
      </c>
      <c r="B35" s="1009" t="s">
        <v>2226</v>
      </c>
      <c r="C35" s="1009" t="s">
        <v>139</v>
      </c>
      <c r="D35" s="1009" t="s">
        <v>98</v>
      </c>
      <c r="E35" s="1009">
        <f>'Clothing calculations'!D184</f>
        <v>2.6370870403593857E-3</v>
      </c>
      <c r="G35" s="1009" t="s">
        <v>2231</v>
      </c>
      <c r="H35" s="1009">
        <v>1</v>
      </c>
      <c r="I35" s="1009">
        <v>2</v>
      </c>
      <c r="J35" s="1009">
        <v>2</v>
      </c>
      <c r="K35" s="1009">
        <v>2</v>
      </c>
      <c r="L35" s="1009">
        <v>2</v>
      </c>
      <c r="M35" s="1009">
        <v>3</v>
      </c>
    </row>
    <row r="36" spans="1:14" s="1009" customFormat="1">
      <c r="A36" s="1009" t="s">
        <v>2230</v>
      </c>
      <c r="B36" s="1009" t="s">
        <v>2226</v>
      </c>
      <c r="C36" s="1009" t="s">
        <v>139</v>
      </c>
      <c r="D36" s="1009" t="s">
        <v>98</v>
      </c>
      <c r="E36" s="1009">
        <f>'Clothing calculations'!D185</f>
        <v>5.2741740807187715E-3</v>
      </c>
      <c r="G36" s="1009" t="s">
        <v>2231</v>
      </c>
      <c r="H36" s="1009">
        <v>1</v>
      </c>
      <c r="I36" s="1009">
        <v>2</v>
      </c>
      <c r="J36" s="1009">
        <v>2</v>
      </c>
      <c r="K36" s="1009">
        <v>2</v>
      </c>
      <c r="L36" s="1009">
        <v>2</v>
      </c>
      <c r="M36" s="1009">
        <v>3</v>
      </c>
    </row>
    <row r="37" spans="1:14" s="1009" customFormat="1">
      <c r="A37" s="1009" t="s">
        <v>2229</v>
      </c>
      <c r="B37" s="1009" t="s">
        <v>2226</v>
      </c>
      <c r="C37" s="1009" t="s">
        <v>139</v>
      </c>
      <c r="D37" s="1009" t="s">
        <v>90</v>
      </c>
      <c r="E37" s="1009">
        <f>'Clothing calculations'!E184</f>
        <v>3.2506855134566658E-3</v>
      </c>
      <c r="G37" s="1009" t="s">
        <v>2231</v>
      </c>
      <c r="H37" s="1009">
        <v>1</v>
      </c>
      <c r="I37" s="1009">
        <v>2</v>
      </c>
      <c r="J37" s="1009">
        <v>2</v>
      </c>
      <c r="K37" s="1009">
        <v>2</v>
      </c>
      <c r="L37" s="1009">
        <v>2</v>
      </c>
      <c r="M37" s="1009">
        <v>3</v>
      </c>
    </row>
    <row r="38" spans="1:14" s="1009" customFormat="1">
      <c r="A38" s="1009" t="s">
        <v>2230</v>
      </c>
      <c r="B38" s="1009" t="s">
        <v>2226</v>
      </c>
      <c r="C38" s="1009" t="s">
        <v>139</v>
      </c>
      <c r="D38" s="1009" t="s">
        <v>90</v>
      </c>
      <c r="E38" s="1009">
        <f>'Clothing calculations'!E185</f>
        <v>6.5013710269133315E-3</v>
      </c>
      <c r="G38" s="1009" t="s">
        <v>2231</v>
      </c>
      <c r="H38" s="1009">
        <v>1</v>
      </c>
      <c r="I38" s="1009">
        <v>2</v>
      </c>
      <c r="J38" s="1009">
        <v>2</v>
      </c>
      <c r="K38" s="1009">
        <v>2</v>
      </c>
      <c r="L38" s="1009">
        <v>2</v>
      </c>
      <c r="M38" s="1009">
        <v>3</v>
      </c>
    </row>
    <row r="39" spans="1:14" s="1009" customFormat="1"/>
    <row r="40" spans="1:14" s="1009" customFormat="1">
      <c r="A40" s="1009" t="s">
        <v>2228</v>
      </c>
      <c r="B40" s="1009" t="s">
        <v>2227</v>
      </c>
      <c r="C40" s="1009" t="s">
        <v>139</v>
      </c>
      <c r="D40" s="1009" t="s">
        <v>95</v>
      </c>
      <c r="E40" s="1009">
        <f>E46</f>
        <v>3.0249999999999999E-3</v>
      </c>
      <c r="G40" s="1009" t="str">
        <f t="shared" ref="G40:M40" si="0">G46</f>
        <v>Average loss during wear, Kawecki et al. 2019, SI table 17</v>
      </c>
      <c r="H40" s="1009">
        <f t="shared" si="0"/>
        <v>2</v>
      </c>
      <c r="I40" s="1009">
        <f t="shared" si="0"/>
        <v>2</v>
      </c>
      <c r="J40" s="1009">
        <f t="shared" si="0"/>
        <v>2</v>
      </c>
      <c r="K40" s="1009">
        <f t="shared" si="0"/>
        <v>2</v>
      </c>
      <c r="L40" s="1009">
        <f t="shared" si="0"/>
        <v>2</v>
      </c>
      <c r="M40" s="1009">
        <f t="shared" si="0"/>
        <v>2</v>
      </c>
    </row>
    <row r="41" spans="1:14" s="1009" customFormat="1">
      <c r="A41" s="1009" t="s">
        <v>2228</v>
      </c>
      <c r="B41" s="1009" t="s">
        <v>2227</v>
      </c>
      <c r="C41" s="1009" t="s">
        <v>139</v>
      </c>
      <c r="D41" s="1009" t="s">
        <v>91</v>
      </c>
      <c r="E41" s="1009">
        <f>E46</f>
        <v>3.0249999999999999E-3</v>
      </c>
      <c r="G41" s="1009" t="str">
        <f t="shared" ref="G41:M41" si="1">G46</f>
        <v>Average loss during wear, Kawecki et al. 2019, SI table 17</v>
      </c>
      <c r="H41" s="1009">
        <f t="shared" si="1"/>
        <v>2</v>
      </c>
      <c r="I41" s="1009">
        <f t="shared" si="1"/>
        <v>2</v>
      </c>
      <c r="J41" s="1009">
        <f t="shared" si="1"/>
        <v>2</v>
      </c>
      <c r="K41" s="1009">
        <f t="shared" si="1"/>
        <v>2</v>
      </c>
      <c r="L41" s="1009">
        <f t="shared" si="1"/>
        <v>2</v>
      </c>
      <c r="M41" s="1009">
        <f t="shared" si="1"/>
        <v>2</v>
      </c>
    </row>
    <row r="42" spans="1:14" s="1009" customFormat="1"/>
    <row r="43" spans="1:14" s="1009" customFormat="1">
      <c r="A43" s="1009" t="s">
        <v>2233</v>
      </c>
      <c r="B43" s="1009" t="str">
        <f>'Textile waste collection'!B19</f>
        <v>Footwear waste collection</v>
      </c>
      <c r="C43" s="1009" t="str">
        <f>'Textile waste collection'!C19</f>
        <v>any</v>
      </c>
      <c r="D43" s="1009" t="str">
        <f>'Textile waste collection'!D19</f>
        <v>any</v>
      </c>
      <c r="E43" s="1009">
        <f>'Textile waste collection'!E19</f>
        <v>0.25</v>
      </c>
      <c r="F43" s="1009">
        <f>'Textile waste collection'!F19</f>
        <v>2</v>
      </c>
      <c r="G43" s="1009" t="str">
        <f>'Textile waste collection'!G19</f>
        <v>(de Waart et al., 2023)</v>
      </c>
      <c r="H43" s="1009">
        <f>'Textile waste collection'!H19</f>
        <v>2</v>
      </c>
      <c r="I43" s="1009">
        <f>'Textile waste collection'!I19</f>
        <v>2</v>
      </c>
      <c r="J43" s="1009">
        <f>'Textile waste collection'!J19</f>
        <v>2</v>
      </c>
      <c r="K43" s="1009">
        <f>'Textile waste collection'!K19</f>
        <v>3</v>
      </c>
      <c r="L43" s="1009">
        <f>'Textile waste collection'!L19</f>
        <v>2</v>
      </c>
      <c r="M43" s="1009">
        <f>'Textile waste collection'!M19</f>
        <v>2</v>
      </c>
    </row>
    <row r="45" spans="1:14" s="409" customFormat="1">
      <c r="A45" s="409" t="s">
        <v>2331</v>
      </c>
    </row>
    <row r="46" spans="1:14">
      <c r="A46" t="s">
        <v>108</v>
      </c>
      <c r="B46" t="s">
        <v>2175</v>
      </c>
      <c r="C46" t="s">
        <v>139</v>
      </c>
      <c r="D46" t="s">
        <v>139</v>
      </c>
      <c r="E46">
        <v>3.0249999999999999E-3</v>
      </c>
      <c r="G46" t="s">
        <v>2060</v>
      </c>
      <c r="H46">
        <v>2</v>
      </c>
      <c r="I46">
        <v>2</v>
      </c>
      <c r="J46">
        <v>2</v>
      </c>
      <c r="K46">
        <v>2</v>
      </c>
      <c r="L46">
        <v>2</v>
      </c>
      <c r="M46">
        <v>2</v>
      </c>
      <c r="N46" t="s">
        <v>2167</v>
      </c>
    </row>
    <row r="47" spans="1:14">
      <c r="A47" t="s">
        <v>108</v>
      </c>
      <c r="B47" t="s">
        <v>2058</v>
      </c>
      <c r="C47" t="s">
        <v>139</v>
      </c>
      <c r="D47" t="s">
        <v>139</v>
      </c>
      <c r="E47">
        <f>(E6*E7*(E2))+(E6*E8*E3)</f>
        <v>1.0017848450000002E-2</v>
      </c>
      <c r="G47" t="s">
        <v>2061</v>
      </c>
      <c r="H47">
        <v>2</v>
      </c>
      <c r="I47">
        <v>2</v>
      </c>
      <c r="J47">
        <v>2</v>
      </c>
      <c r="K47">
        <v>2</v>
      </c>
      <c r="L47">
        <v>2</v>
      </c>
      <c r="M47">
        <v>2</v>
      </c>
    </row>
    <row r="48" spans="1:14">
      <c r="A48" t="s">
        <v>108</v>
      </c>
      <c r="B48" t="s">
        <v>2059</v>
      </c>
      <c r="C48" t="s">
        <v>139</v>
      </c>
      <c r="D48" t="s">
        <v>139</v>
      </c>
      <c r="E48">
        <f>(E10*E12*E18)+(E10*E13*E19)+(E10*E14*E20)+(E10*E15*E21)+(E10*E16*E22)+(E10*E17*E23)</f>
        <v>5.1196599999999998E-4</v>
      </c>
      <c r="G48" t="s">
        <v>2062</v>
      </c>
      <c r="H48">
        <v>2</v>
      </c>
      <c r="I48">
        <v>2</v>
      </c>
      <c r="J48">
        <v>2</v>
      </c>
      <c r="K48">
        <v>2</v>
      </c>
      <c r="L48">
        <v>2</v>
      </c>
      <c r="M48">
        <v>2</v>
      </c>
    </row>
    <row r="50" spans="1:13">
      <c r="A50" t="s">
        <v>194</v>
      </c>
      <c r="B50" t="str">
        <f>'Textile waste collection'!B15</f>
        <v>Clothing waste collection</v>
      </c>
      <c r="C50" t="str">
        <f>'Textile waste collection'!C15</f>
        <v>any</v>
      </c>
      <c r="D50" t="str">
        <f>'Textile waste collection'!D15</f>
        <v>any</v>
      </c>
      <c r="E50">
        <f>'Textile waste collection'!E15</f>
        <v>0.50465116279069766</v>
      </c>
      <c r="F50">
        <f>'Textile waste collection'!F15</f>
        <v>2</v>
      </c>
      <c r="G50" t="str">
        <f>'Textile waste collection'!G15</f>
        <v>Massabalans textiel, 2022</v>
      </c>
      <c r="H50">
        <f>'Textile waste collection'!H15</f>
        <v>1</v>
      </c>
      <c r="I50">
        <f>'Textile waste collection'!I15</f>
        <v>2</v>
      </c>
      <c r="J50">
        <f>'Textile waste collection'!J15</f>
        <v>2</v>
      </c>
      <c r="K50">
        <f>'Textile waste collection'!K15</f>
        <v>1</v>
      </c>
      <c r="L50">
        <f>'Textile waste collection'!L15</f>
        <v>2</v>
      </c>
      <c r="M50">
        <f>'Textile waste collection'!M15</f>
        <v>2</v>
      </c>
    </row>
    <row r="51" spans="1:13">
      <c r="A51" t="s">
        <v>194</v>
      </c>
      <c r="B51" t="s">
        <v>223</v>
      </c>
      <c r="C51" t="s">
        <v>139</v>
      </c>
      <c r="D51" t="s">
        <v>139</v>
      </c>
      <c r="E51" t="s">
        <v>150</v>
      </c>
    </row>
    <row r="52" spans="1:13">
      <c r="A52" t="s">
        <v>194</v>
      </c>
      <c r="B52" t="s">
        <v>204</v>
      </c>
      <c r="C52" t="s">
        <v>139</v>
      </c>
      <c r="D52" t="s">
        <v>139</v>
      </c>
      <c r="E52">
        <v>2.7E-4</v>
      </c>
      <c r="G52" t="s">
        <v>43</v>
      </c>
      <c r="H52">
        <v>2</v>
      </c>
      <c r="I52">
        <v>2</v>
      </c>
      <c r="J52">
        <v>2</v>
      </c>
      <c r="K52">
        <v>3</v>
      </c>
      <c r="L52">
        <v>3</v>
      </c>
      <c r="M52">
        <v>3</v>
      </c>
    </row>
    <row r="54" spans="1:13">
      <c r="A54" t="s">
        <v>108</v>
      </c>
      <c r="B54" t="s">
        <v>196</v>
      </c>
      <c r="C54" t="s">
        <v>139</v>
      </c>
      <c r="D54" t="s">
        <v>139</v>
      </c>
      <c r="E54">
        <f>SUM(E46:E48)</f>
        <v>1.3554814450000001E-2</v>
      </c>
      <c r="G54" t="s">
        <v>2063</v>
      </c>
    </row>
    <row r="55" spans="1:13">
      <c r="A55" t="s">
        <v>108</v>
      </c>
      <c r="B55" t="s">
        <v>194</v>
      </c>
      <c r="C55" t="s">
        <v>139</v>
      </c>
      <c r="D55" t="s">
        <v>139</v>
      </c>
      <c r="E55">
        <f>1-E54</f>
        <v>0.98644518555000005</v>
      </c>
      <c r="G55" t="s">
        <v>2064</v>
      </c>
    </row>
    <row r="56" spans="1:13">
      <c r="B56" t="s">
        <v>2068</v>
      </c>
      <c r="C56" t="s">
        <v>139</v>
      </c>
      <c r="D56" t="s">
        <v>139</v>
      </c>
      <c r="E56">
        <f>1-E46</f>
        <v>0.99697499999999994</v>
      </c>
    </row>
    <row r="57" spans="1:13" s="898" customFormat="1">
      <c r="A57" s="899" t="s">
        <v>2065</v>
      </c>
    </row>
    <row r="58" spans="1:13" s="1014" customFormat="1">
      <c r="A58" s="1014" t="s">
        <v>2066</v>
      </c>
      <c r="B58" s="1014" t="s">
        <v>2071</v>
      </c>
      <c r="C58" s="1014" t="s">
        <v>139</v>
      </c>
      <c r="D58" s="1014" t="s">
        <v>139</v>
      </c>
      <c r="E58" s="1014">
        <f>E46</f>
        <v>3.0249999999999999E-3</v>
      </c>
      <c r="F58" s="1014">
        <v>3</v>
      </c>
      <c r="G58" s="1014" t="str">
        <f t="shared" ref="G58:M60" si="2">G46</f>
        <v>Average loss during wear, Kawecki et al. 2019, SI table 17</v>
      </c>
      <c r="H58" s="1014">
        <f t="shared" si="2"/>
        <v>2</v>
      </c>
      <c r="I58" s="1014">
        <f t="shared" si="2"/>
        <v>2</v>
      </c>
      <c r="J58" s="1014">
        <f t="shared" si="2"/>
        <v>2</v>
      </c>
      <c r="K58" s="1014">
        <f t="shared" si="2"/>
        <v>2</v>
      </c>
      <c r="L58" s="1014">
        <f t="shared" si="2"/>
        <v>2</v>
      </c>
      <c r="M58" s="1014">
        <f t="shared" si="2"/>
        <v>2</v>
      </c>
    </row>
    <row r="59" spans="1:13" s="1014" customFormat="1">
      <c r="A59" s="1014" t="s">
        <v>2066</v>
      </c>
      <c r="B59" s="1014" t="s">
        <v>2070</v>
      </c>
      <c r="C59" s="1014" t="s">
        <v>139</v>
      </c>
      <c r="D59" s="1014" t="s">
        <v>139</v>
      </c>
      <c r="E59" s="1014">
        <f>E47</f>
        <v>1.0017848450000002E-2</v>
      </c>
      <c r="F59" s="1014">
        <v>3</v>
      </c>
      <c r="G59" s="1014" t="str">
        <f t="shared" si="2"/>
        <v>Computed from available data from Kawecki et al. (2019) and CBS (2022)</v>
      </c>
      <c r="H59" s="1014">
        <f t="shared" si="2"/>
        <v>2</v>
      </c>
      <c r="I59" s="1014">
        <f t="shared" si="2"/>
        <v>2</v>
      </c>
      <c r="J59" s="1014">
        <f t="shared" si="2"/>
        <v>2</v>
      </c>
      <c r="K59" s="1014">
        <f t="shared" si="2"/>
        <v>2</v>
      </c>
      <c r="L59" s="1014">
        <f t="shared" si="2"/>
        <v>2</v>
      </c>
      <c r="M59" s="1014">
        <f t="shared" si="2"/>
        <v>2</v>
      </c>
    </row>
    <row r="60" spans="1:13" s="1014" customFormat="1">
      <c r="A60" s="1014" t="s">
        <v>2066</v>
      </c>
      <c r="B60" s="1014" t="s">
        <v>2072</v>
      </c>
      <c r="C60" s="1014" t="s">
        <v>139</v>
      </c>
      <c r="D60" s="1014" t="s">
        <v>139</v>
      </c>
      <c r="E60" s="1014">
        <f>E48</f>
        <v>5.1196599999999998E-4</v>
      </c>
      <c r="F60" s="1014">
        <v>3</v>
      </c>
      <c r="G60" s="1014" t="str">
        <f t="shared" si="2"/>
        <v>Computed from available data from Kawecki et al. (2019)</v>
      </c>
      <c r="H60" s="1014">
        <f t="shared" si="2"/>
        <v>2</v>
      </c>
      <c r="I60" s="1014">
        <f t="shared" si="2"/>
        <v>2</v>
      </c>
      <c r="J60" s="1014">
        <f t="shared" si="2"/>
        <v>2</v>
      </c>
      <c r="K60" s="1014">
        <f t="shared" si="2"/>
        <v>2</v>
      </c>
      <c r="L60" s="1014">
        <f t="shared" si="2"/>
        <v>2</v>
      </c>
      <c r="M60" s="1014">
        <f t="shared" si="2"/>
        <v>2</v>
      </c>
    </row>
    <row r="61" spans="1:13" s="1014" customFormat="1">
      <c r="A61" s="1014" t="s">
        <v>2066</v>
      </c>
      <c r="B61" s="1014" t="s">
        <v>2256</v>
      </c>
      <c r="C61" s="1014" t="s">
        <v>139</v>
      </c>
      <c r="D61" s="1014" t="s">
        <v>139</v>
      </c>
      <c r="E61" s="1014">
        <f>E55*E50</f>
        <v>0.49781070991709303</v>
      </c>
      <c r="F61" s="1014">
        <v>2</v>
      </c>
      <c r="G61" s="1014" t="str">
        <f t="shared" ref="G61:M61" si="3">G50</f>
        <v>Massabalans textiel, 2022</v>
      </c>
      <c r="H61" s="1014">
        <f t="shared" si="3"/>
        <v>1</v>
      </c>
      <c r="I61" s="1014">
        <f t="shared" si="3"/>
        <v>2</v>
      </c>
      <c r="J61" s="1014">
        <f t="shared" si="3"/>
        <v>2</v>
      </c>
      <c r="K61" s="1014">
        <f t="shared" si="3"/>
        <v>1</v>
      </c>
      <c r="L61" s="1014">
        <f t="shared" si="3"/>
        <v>2</v>
      </c>
      <c r="M61" s="1014">
        <f t="shared" si="3"/>
        <v>2</v>
      </c>
    </row>
    <row r="62" spans="1:13" s="1014" customFormat="1">
      <c r="A62" s="1014" t="s">
        <v>2066</v>
      </c>
      <c r="B62" s="1014" t="s">
        <v>223</v>
      </c>
      <c r="C62" s="1014" t="s">
        <v>139</v>
      </c>
      <c r="D62" s="1014" t="s">
        <v>139</v>
      </c>
      <c r="E62" s="1014" t="s">
        <v>150</v>
      </c>
      <c r="F62" s="1014">
        <v>1</v>
      </c>
    </row>
    <row r="63" spans="1:13" s="1014" customFormat="1">
      <c r="A63" s="1014" t="s">
        <v>2066</v>
      </c>
      <c r="B63" s="1014" t="s">
        <v>204</v>
      </c>
      <c r="C63" s="1014" t="s">
        <v>139</v>
      </c>
      <c r="D63" s="1014" t="s">
        <v>139</v>
      </c>
      <c r="E63" s="1014">
        <f>E55*E52</f>
        <v>2.663402000985E-4</v>
      </c>
      <c r="F63" s="1014">
        <v>2</v>
      </c>
      <c r="G63" s="1014" t="str">
        <f t="shared" ref="G63:M63" si="4">G52</f>
        <v>Kawecki &amp; Nowack (2019)</v>
      </c>
      <c r="H63" s="1014">
        <f t="shared" si="4"/>
        <v>2</v>
      </c>
      <c r="I63" s="1014">
        <f t="shared" si="4"/>
        <v>2</v>
      </c>
      <c r="J63" s="1014">
        <f t="shared" si="4"/>
        <v>2</v>
      </c>
      <c r="K63" s="1014">
        <f t="shared" si="4"/>
        <v>3</v>
      </c>
      <c r="L63" s="1014">
        <f t="shared" si="4"/>
        <v>3</v>
      </c>
      <c r="M63" s="1014">
        <f t="shared" si="4"/>
        <v>3</v>
      </c>
    </row>
    <row r="64" spans="1:13" s="1014" customFormat="1"/>
    <row r="65" spans="1:13" s="222" customFormat="1">
      <c r="A65" s="222" t="s">
        <v>2282</v>
      </c>
    </row>
    <row r="66" spans="1:13">
      <c r="A66" t="s">
        <v>2066</v>
      </c>
      <c r="B66" t="s">
        <v>2283</v>
      </c>
      <c r="C66" t="s">
        <v>139</v>
      </c>
      <c r="D66" t="s">
        <v>139</v>
      </c>
      <c r="E66">
        <f>SUM(E46:E48)</f>
        <v>1.3554814450000001E-2</v>
      </c>
      <c r="F66">
        <v>2</v>
      </c>
      <c r="G66" t="s">
        <v>2290</v>
      </c>
      <c r="H66">
        <v>2</v>
      </c>
      <c r="I66">
        <v>2</v>
      </c>
      <c r="J66">
        <v>2</v>
      </c>
      <c r="K66">
        <v>2</v>
      </c>
      <c r="L66">
        <v>2</v>
      </c>
      <c r="M66">
        <v>2</v>
      </c>
    </row>
    <row r="67" spans="1:13">
      <c r="A67" t="s">
        <v>2066</v>
      </c>
      <c r="B67" t="s">
        <v>2284</v>
      </c>
      <c r="C67" t="s">
        <v>139</v>
      </c>
      <c r="D67" t="s">
        <v>139</v>
      </c>
      <c r="E67" t="s">
        <v>150</v>
      </c>
      <c r="F67">
        <v>1</v>
      </c>
    </row>
    <row r="69" spans="1:13">
      <c r="A69" t="s">
        <v>2283</v>
      </c>
      <c r="B69" t="s">
        <v>2071</v>
      </c>
      <c r="C69" t="s">
        <v>139</v>
      </c>
      <c r="D69" t="s">
        <v>139</v>
      </c>
      <c r="E69">
        <f>E46/E66</f>
        <v>0.22316793868026719</v>
      </c>
      <c r="F69">
        <v>2</v>
      </c>
      <c r="G69" t="str">
        <f t="shared" ref="G69:M71" si="5">G46</f>
        <v>Average loss during wear, Kawecki et al. 2019, SI table 17</v>
      </c>
      <c r="H69">
        <f t="shared" si="5"/>
        <v>2</v>
      </c>
      <c r="I69">
        <f t="shared" si="5"/>
        <v>2</v>
      </c>
      <c r="J69">
        <f t="shared" si="5"/>
        <v>2</v>
      </c>
      <c r="K69">
        <f t="shared" si="5"/>
        <v>2</v>
      </c>
      <c r="L69">
        <f t="shared" si="5"/>
        <v>2</v>
      </c>
      <c r="M69">
        <f t="shared" si="5"/>
        <v>2</v>
      </c>
    </row>
    <row r="70" spans="1:13">
      <c r="A70" t="s">
        <v>2283</v>
      </c>
      <c r="B70" t="s">
        <v>2070</v>
      </c>
      <c r="C70" t="s">
        <v>139</v>
      </c>
      <c r="D70" t="s">
        <v>139</v>
      </c>
      <c r="E70">
        <f>E47/E66</f>
        <v>0.7390620127596067</v>
      </c>
      <c r="F70">
        <v>2</v>
      </c>
      <c r="G70" t="str">
        <f t="shared" si="5"/>
        <v>Computed from available data from Kawecki et al. (2019) and CBS (2022)</v>
      </c>
      <c r="H70">
        <f t="shared" si="5"/>
        <v>2</v>
      </c>
      <c r="I70">
        <f t="shared" si="5"/>
        <v>2</v>
      </c>
      <c r="J70">
        <f t="shared" si="5"/>
        <v>2</v>
      </c>
      <c r="K70">
        <f t="shared" si="5"/>
        <v>2</v>
      </c>
      <c r="L70">
        <f t="shared" si="5"/>
        <v>2</v>
      </c>
      <c r="M70">
        <f t="shared" si="5"/>
        <v>2</v>
      </c>
    </row>
    <row r="71" spans="1:13">
      <c r="A71" t="s">
        <v>2283</v>
      </c>
      <c r="B71" t="s">
        <v>2072</v>
      </c>
      <c r="C71" t="s">
        <v>139</v>
      </c>
      <c r="D71" t="s">
        <v>139</v>
      </c>
      <c r="E71">
        <f>E48/E66</f>
        <v>3.7770048560126175E-2</v>
      </c>
      <c r="F71">
        <v>2</v>
      </c>
      <c r="G71" t="str">
        <f t="shared" si="5"/>
        <v>Computed from available data from Kawecki et al. (2019)</v>
      </c>
      <c r="H71">
        <f t="shared" si="5"/>
        <v>2</v>
      </c>
      <c r="I71">
        <f t="shared" si="5"/>
        <v>2</v>
      </c>
      <c r="J71">
        <f t="shared" si="5"/>
        <v>2</v>
      </c>
      <c r="K71">
        <f t="shared" si="5"/>
        <v>2</v>
      </c>
      <c r="L71">
        <f t="shared" si="5"/>
        <v>2</v>
      </c>
      <c r="M71">
        <f t="shared" si="5"/>
        <v>2</v>
      </c>
    </row>
    <row r="72" spans="1:13">
      <c r="A72" t="s">
        <v>2284</v>
      </c>
      <c r="B72" t="s">
        <v>2256</v>
      </c>
      <c r="C72" t="s">
        <v>139</v>
      </c>
      <c r="D72" t="s">
        <v>139</v>
      </c>
      <c r="E72">
        <f t="shared" ref="E72:M72" si="6">E50</f>
        <v>0.50465116279069766</v>
      </c>
      <c r="F72">
        <f t="shared" si="6"/>
        <v>2</v>
      </c>
      <c r="G72" t="str">
        <f t="shared" si="6"/>
        <v>Massabalans textiel, 2022</v>
      </c>
      <c r="H72">
        <f t="shared" si="6"/>
        <v>1</v>
      </c>
      <c r="I72">
        <f t="shared" si="6"/>
        <v>2</v>
      </c>
      <c r="J72">
        <f t="shared" si="6"/>
        <v>2</v>
      </c>
      <c r="K72">
        <f t="shared" si="6"/>
        <v>1</v>
      </c>
      <c r="L72">
        <f t="shared" si="6"/>
        <v>2</v>
      </c>
      <c r="M72">
        <f t="shared" si="6"/>
        <v>2</v>
      </c>
    </row>
    <row r="73" spans="1:13">
      <c r="A73" t="s">
        <v>2284</v>
      </c>
      <c r="B73" t="s">
        <v>223</v>
      </c>
      <c r="C73" t="s">
        <v>139</v>
      </c>
      <c r="D73" t="s">
        <v>139</v>
      </c>
      <c r="E73" t="s">
        <v>150</v>
      </c>
      <c r="F73">
        <v>1</v>
      </c>
    </row>
    <row r="74" spans="1:13">
      <c r="A74" t="s">
        <v>2284</v>
      </c>
      <c r="B74" t="s">
        <v>204</v>
      </c>
      <c r="C74" t="s">
        <v>139</v>
      </c>
      <c r="D74" t="s">
        <v>139</v>
      </c>
      <c r="E74">
        <f>E52</f>
        <v>2.7E-4</v>
      </c>
      <c r="F74">
        <v>2</v>
      </c>
      <c r="G74" t="str">
        <f t="shared" ref="G74:M74" si="7">G52</f>
        <v>Kawecki &amp; Nowack (2019)</v>
      </c>
      <c r="H74">
        <f t="shared" si="7"/>
        <v>2</v>
      </c>
      <c r="I74">
        <f t="shared" si="7"/>
        <v>2</v>
      </c>
      <c r="J74">
        <f t="shared" si="7"/>
        <v>2</v>
      </c>
      <c r="K74">
        <f t="shared" si="7"/>
        <v>3</v>
      </c>
      <c r="L74">
        <f t="shared" si="7"/>
        <v>3</v>
      </c>
      <c r="M74">
        <f t="shared" si="7"/>
        <v>3</v>
      </c>
    </row>
    <row r="76" spans="1:13" s="898" customFormat="1">
      <c r="A76" s="994" t="s">
        <v>2287</v>
      </c>
      <c r="B76" s="995"/>
      <c r="C76" s="995"/>
      <c r="D76" s="995"/>
      <c r="E76" s="995"/>
      <c r="F76" s="995"/>
      <c r="G76" s="995"/>
      <c r="H76" s="995"/>
      <c r="I76" s="995"/>
      <c r="J76" s="995"/>
      <c r="K76" s="995"/>
      <c r="L76" s="995"/>
      <c r="M76" s="995"/>
    </row>
    <row r="77" spans="1:13" s="1014" customFormat="1">
      <c r="A77" s="1014" t="s">
        <v>2066</v>
      </c>
      <c r="B77" s="1014" t="s">
        <v>2071</v>
      </c>
      <c r="C77" s="1014" t="s">
        <v>139</v>
      </c>
      <c r="D77" s="1014" t="s">
        <v>139</v>
      </c>
      <c r="E77" s="1014">
        <f>E46</f>
        <v>3.0249999999999999E-3</v>
      </c>
      <c r="F77" s="1014">
        <v>3</v>
      </c>
      <c r="G77" s="1014">
        <f t="shared" ref="G77:M79" si="8">G62</f>
        <v>0</v>
      </c>
      <c r="H77" s="1014">
        <f t="shared" si="8"/>
        <v>0</v>
      </c>
      <c r="I77" s="1014">
        <f t="shared" si="8"/>
        <v>0</v>
      </c>
      <c r="J77" s="1014">
        <f t="shared" si="8"/>
        <v>0</v>
      </c>
      <c r="K77" s="1014">
        <f t="shared" si="8"/>
        <v>0</v>
      </c>
      <c r="L77" s="1014">
        <f t="shared" si="8"/>
        <v>0</v>
      </c>
      <c r="M77" s="1014">
        <f t="shared" si="8"/>
        <v>0</v>
      </c>
    </row>
    <row r="78" spans="1:13" s="1014" customFormat="1">
      <c r="A78" s="1014" t="s">
        <v>2066</v>
      </c>
      <c r="B78" s="1014" t="s">
        <v>2070</v>
      </c>
      <c r="C78" s="1014" t="s">
        <v>139</v>
      </c>
      <c r="D78" s="1014" t="s">
        <v>139</v>
      </c>
      <c r="E78" s="1014">
        <f>E47/E6</f>
        <v>3.4544305000000009E-4</v>
      </c>
      <c r="F78" s="1014">
        <v>3</v>
      </c>
      <c r="G78" s="1014" t="str">
        <f t="shared" si="8"/>
        <v>Kawecki &amp; Nowack (2019)</v>
      </c>
      <c r="H78" s="1014">
        <f t="shared" si="8"/>
        <v>2</v>
      </c>
      <c r="I78" s="1014">
        <f t="shared" si="8"/>
        <v>2</v>
      </c>
      <c r="J78" s="1014">
        <f t="shared" si="8"/>
        <v>2</v>
      </c>
      <c r="K78" s="1014">
        <f t="shared" si="8"/>
        <v>3</v>
      </c>
      <c r="L78" s="1014">
        <f t="shared" si="8"/>
        <v>3</v>
      </c>
      <c r="M78" s="1014">
        <f t="shared" si="8"/>
        <v>3</v>
      </c>
    </row>
    <row r="79" spans="1:13" s="1014" customFormat="1">
      <c r="A79" s="1014" t="s">
        <v>2066</v>
      </c>
      <c r="B79" s="1014" t="s">
        <v>2072</v>
      </c>
      <c r="C79" s="1014" t="s">
        <v>139</v>
      </c>
      <c r="D79" s="1014" t="s">
        <v>139</v>
      </c>
      <c r="E79" s="1014">
        <f>E48/E10</f>
        <v>1.7654000000000001E-5</v>
      </c>
      <c r="F79" s="1014">
        <v>3</v>
      </c>
      <c r="G79" s="1014">
        <f t="shared" si="8"/>
        <v>0</v>
      </c>
      <c r="H79" s="1014">
        <f t="shared" si="8"/>
        <v>0</v>
      </c>
      <c r="I79" s="1014">
        <f t="shared" si="8"/>
        <v>0</v>
      </c>
      <c r="J79" s="1014">
        <f t="shared" si="8"/>
        <v>0</v>
      </c>
      <c r="K79" s="1014">
        <f t="shared" si="8"/>
        <v>0</v>
      </c>
      <c r="L79" s="1014">
        <f t="shared" si="8"/>
        <v>0</v>
      </c>
      <c r="M79" s="1014">
        <f t="shared" si="8"/>
        <v>0</v>
      </c>
    </row>
    <row r="80" spans="1:13" s="1014" customFormat="1">
      <c r="A80" s="1014" t="s">
        <v>2066</v>
      </c>
      <c r="B80" s="1014" t="s">
        <v>2256</v>
      </c>
      <c r="C80" s="1014" t="s">
        <v>139</v>
      </c>
      <c r="D80" s="1014" t="s">
        <v>139</v>
      </c>
      <c r="E80" s="1014">
        <f>E50</f>
        <v>0.50465116279069766</v>
      </c>
      <c r="F80" s="1014">
        <v>2</v>
      </c>
      <c r="G80" s="1014" t="str">
        <f t="shared" ref="G80:M80" si="9">G66</f>
        <v>Computed from wearing, washing, drying TCs</v>
      </c>
      <c r="H80" s="1014">
        <f t="shared" si="9"/>
        <v>2</v>
      </c>
      <c r="I80" s="1014">
        <f t="shared" si="9"/>
        <v>2</v>
      </c>
      <c r="J80" s="1014">
        <f t="shared" si="9"/>
        <v>2</v>
      </c>
      <c r="K80" s="1014">
        <f t="shared" si="9"/>
        <v>2</v>
      </c>
      <c r="L80" s="1014">
        <f t="shared" si="9"/>
        <v>2</v>
      </c>
      <c r="M80" s="1014">
        <f t="shared" si="9"/>
        <v>2</v>
      </c>
    </row>
    <row r="81" spans="1:13" s="1014" customFormat="1">
      <c r="A81" s="1014" t="s">
        <v>2066</v>
      </c>
      <c r="B81" s="1014" t="s">
        <v>223</v>
      </c>
      <c r="C81" s="1014" t="s">
        <v>139</v>
      </c>
      <c r="D81" s="1014" t="s">
        <v>139</v>
      </c>
      <c r="E81" s="1014" t="str">
        <f>E51</f>
        <v>rest</v>
      </c>
      <c r="F81" s="1014">
        <v>1</v>
      </c>
    </row>
    <row r="82" spans="1:13" s="1014" customFormat="1">
      <c r="A82" s="1014" t="s">
        <v>2066</v>
      </c>
      <c r="B82" s="1014" t="s">
        <v>204</v>
      </c>
      <c r="C82" s="1014" t="s">
        <v>139</v>
      </c>
      <c r="D82" s="1014" t="s">
        <v>139</v>
      </c>
      <c r="E82" s="1014">
        <f>E52</f>
        <v>2.7E-4</v>
      </c>
      <c r="F82" s="1014">
        <v>2</v>
      </c>
      <c r="G82" s="1014">
        <f t="shared" ref="G82:M82" si="10">G68</f>
        <v>0</v>
      </c>
      <c r="H82" s="1014">
        <f t="shared" si="10"/>
        <v>0</v>
      </c>
      <c r="I82" s="1014">
        <f t="shared" si="10"/>
        <v>0</v>
      </c>
      <c r="J82" s="1014">
        <f t="shared" si="10"/>
        <v>0</v>
      </c>
      <c r="K82" s="1014">
        <f t="shared" si="10"/>
        <v>0</v>
      </c>
      <c r="L82" s="1014">
        <f t="shared" si="10"/>
        <v>0</v>
      </c>
      <c r="M82" s="1014">
        <f t="shared" si="10"/>
        <v>0</v>
      </c>
    </row>
    <row r="84" spans="1:13" s="222" customFormat="1">
      <c r="A84" s="222" t="s">
        <v>2282</v>
      </c>
    </row>
    <row r="85" spans="1:13">
      <c r="A85" t="s">
        <v>2066</v>
      </c>
      <c r="B85" t="s">
        <v>2288</v>
      </c>
      <c r="C85" t="s">
        <v>139</v>
      </c>
      <c r="D85" t="s">
        <v>139</v>
      </c>
      <c r="E85">
        <f>SUM(E77:E79)</f>
        <v>3.3880970500000003E-3</v>
      </c>
      <c r="F85">
        <v>2</v>
      </c>
      <c r="G85" t="str">
        <f t="shared" ref="G85:M85" si="11">G66</f>
        <v>Computed from wearing, washing, drying TCs</v>
      </c>
      <c r="H85">
        <f t="shared" si="11"/>
        <v>2</v>
      </c>
      <c r="I85">
        <f t="shared" si="11"/>
        <v>2</v>
      </c>
      <c r="J85">
        <f t="shared" si="11"/>
        <v>2</v>
      </c>
      <c r="K85">
        <f t="shared" si="11"/>
        <v>2</v>
      </c>
      <c r="L85">
        <f t="shared" si="11"/>
        <v>2</v>
      </c>
      <c r="M85">
        <f t="shared" si="11"/>
        <v>2</v>
      </c>
    </row>
    <row r="86" spans="1:13">
      <c r="A86" t="s">
        <v>2066</v>
      </c>
      <c r="B86" t="s">
        <v>2289</v>
      </c>
      <c r="C86" t="s">
        <v>139</v>
      </c>
      <c r="D86" t="s">
        <v>139</v>
      </c>
      <c r="E86" t="s">
        <v>150</v>
      </c>
      <c r="F86">
        <v>1</v>
      </c>
    </row>
    <row r="88" spans="1:13">
      <c r="A88" t="s">
        <v>2288</v>
      </c>
      <c r="B88" t="s">
        <v>2071</v>
      </c>
      <c r="C88" t="s">
        <v>139</v>
      </c>
      <c r="D88" t="s">
        <v>139</v>
      </c>
      <c r="E88">
        <f>E46/E85</f>
        <v>0.8928315675018812</v>
      </c>
      <c r="F88">
        <v>2</v>
      </c>
      <c r="G88" t="str">
        <f t="shared" ref="G88:M90" si="12">G46</f>
        <v>Average loss during wear, Kawecki et al. 2019, SI table 17</v>
      </c>
      <c r="H88">
        <f t="shared" si="12"/>
        <v>2</v>
      </c>
      <c r="I88">
        <f t="shared" si="12"/>
        <v>2</v>
      </c>
      <c r="J88">
        <f t="shared" si="12"/>
        <v>2</v>
      </c>
      <c r="K88">
        <f t="shared" si="12"/>
        <v>2</v>
      </c>
      <c r="L88">
        <f t="shared" si="12"/>
        <v>2</v>
      </c>
      <c r="M88">
        <f t="shared" si="12"/>
        <v>2</v>
      </c>
    </row>
    <row r="89" spans="1:13">
      <c r="A89" t="s">
        <v>2288</v>
      </c>
      <c r="B89" t="s">
        <v>2070</v>
      </c>
      <c r="C89" t="s">
        <v>139</v>
      </c>
      <c r="D89" t="s">
        <v>139</v>
      </c>
      <c r="E89">
        <f>(E47/E6)/E85</f>
        <v>0.10195783795508456</v>
      </c>
      <c r="F89">
        <v>2</v>
      </c>
      <c r="G89" t="str">
        <f t="shared" si="12"/>
        <v>Computed from available data from Kawecki et al. (2019) and CBS (2022)</v>
      </c>
      <c r="H89">
        <f t="shared" si="12"/>
        <v>2</v>
      </c>
      <c r="I89">
        <f t="shared" si="12"/>
        <v>2</v>
      </c>
      <c r="J89">
        <f t="shared" si="12"/>
        <v>2</v>
      </c>
      <c r="K89">
        <f t="shared" si="12"/>
        <v>2</v>
      </c>
      <c r="L89">
        <f t="shared" si="12"/>
        <v>2</v>
      </c>
      <c r="M89">
        <f t="shared" si="12"/>
        <v>2</v>
      </c>
    </row>
    <row r="90" spans="1:13">
      <c r="A90" t="s">
        <v>2288</v>
      </c>
      <c r="B90" t="s">
        <v>2072</v>
      </c>
      <c r="C90" t="s">
        <v>139</v>
      </c>
      <c r="D90" t="s">
        <v>139</v>
      </c>
      <c r="E90">
        <f>(E48/E10)/E85</f>
        <v>5.2105945430341201E-3</v>
      </c>
      <c r="F90">
        <v>2</v>
      </c>
      <c r="G90" t="str">
        <f t="shared" si="12"/>
        <v>Computed from available data from Kawecki et al. (2019)</v>
      </c>
      <c r="H90">
        <f t="shared" si="12"/>
        <v>2</v>
      </c>
      <c r="I90">
        <f t="shared" si="12"/>
        <v>2</v>
      </c>
      <c r="J90">
        <f t="shared" si="12"/>
        <v>2</v>
      </c>
      <c r="K90">
        <f t="shared" si="12"/>
        <v>2</v>
      </c>
      <c r="L90">
        <f t="shared" si="12"/>
        <v>2</v>
      </c>
      <c r="M90">
        <f t="shared" si="12"/>
        <v>2</v>
      </c>
    </row>
    <row r="91" spans="1:13">
      <c r="A91" t="s">
        <v>2289</v>
      </c>
      <c r="B91" t="s">
        <v>2256</v>
      </c>
      <c r="C91" t="s">
        <v>139</v>
      </c>
      <c r="D91" t="s">
        <v>139</v>
      </c>
      <c r="E91">
        <f t="shared" ref="E91:M91" si="13">E50</f>
        <v>0.50465116279069766</v>
      </c>
      <c r="F91">
        <f t="shared" si="13"/>
        <v>2</v>
      </c>
      <c r="G91" t="str">
        <f t="shared" si="13"/>
        <v>Massabalans textiel, 2022</v>
      </c>
      <c r="H91">
        <f t="shared" si="13"/>
        <v>1</v>
      </c>
      <c r="I91">
        <f t="shared" si="13"/>
        <v>2</v>
      </c>
      <c r="J91">
        <f t="shared" si="13"/>
        <v>2</v>
      </c>
      <c r="K91">
        <f t="shared" si="13"/>
        <v>1</v>
      </c>
      <c r="L91">
        <f t="shared" si="13"/>
        <v>2</v>
      </c>
      <c r="M91">
        <f t="shared" si="13"/>
        <v>2</v>
      </c>
    </row>
    <row r="92" spans="1:13">
      <c r="A92" t="s">
        <v>2289</v>
      </c>
      <c r="B92" t="s">
        <v>223</v>
      </c>
      <c r="C92" t="s">
        <v>139</v>
      </c>
      <c r="D92" t="s">
        <v>139</v>
      </c>
      <c r="E92" t="str">
        <f>E51</f>
        <v>rest</v>
      </c>
      <c r="F92">
        <v>1</v>
      </c>
    </row>
    <row r="93" spans="1:13">
      <c r="A93" t="s">
        <v>2289</v>
      </c>
      <c r="B93" t="s">
        <v>204</v>
      </c>
      <c r="C93" t="s">
        <v>139</v>
      </c>
      <c r="D93" t="s">
        <v>139</v>
      </c>
      <c r="E93">
        <f>E52</f>
        <v>2.7E-4</v>
      </c>
      <c r="F93">
        <v>2</v>
      </c>
      <c r="G93" t="str">
        <f t="shared" ref="G93:M93" si="14">G52</f>
        <v>Kawecki &amp; Nowack (2019)</v>
      </c>
      <c r="H93">
        <f t="shared" si="14"/>
        <v>2</v>
      </c>
      <c r="I93">
        <f t="shared" si="14"/>
        <v>2</v>
      </c>
      <c r="J93">
        <f t="shared" si="14"/>
        <v>2</v>
      </c>
      <c r="K93">
        <f t="shared" si="14"/>
        <v>3</v>
      </c>
      <c r="L93">
        <f t="shared" si="14"/>
        <v>3</v>
      </c>
      <c r="M93">
        <f t="shared" si="14"/>
        <v>3</v>
      </c>
    </row>
    <row r="95" spans="1:13" s="898" customFormat="1">
      <c r="A95" s="994" t="s">
        <v>2067</v>
      </c>
      <c r="B95" s="995"/>
      <c r="C95" s="995"/>
      <c r="D95" s="995"/>
      <c r="E95" s="995"/>
      <c r="F95" s="995"/>
      <c r="G95" s="995"/>
      <c r="H95" s="995"/>
      <c r="I95" s="995"/>
      <c r="J95" s="995"/>
      <c r="K95" s="995"/>
      <c r="L95" s="995"/>
      <c r="M95" s="995"/>
    </row>
    <row r="96" spans="1:13" s="1014" customFormat="1" ht="15.75" customHeight="1">
      <c r="A96" s="1014" t="s">
        <v>2066</v>
      </c>
      <c r="B96" s="1014" t="s">
        <v>2071</v>
      </c>
      <c r="C96" s="1014" t="s">
        <v>139</v>
      </c>
      <c r="D96" s="1014" t="s">
        <v>139</v>
      </c>
      <c r="E96" s="1014">
        <f>E46</f>
        <v>3.0249999999999999E-3</v>
      </c>
      <c r="F96" s="1014">
        <v>3</v>
      </c>
      <c r="G96" s="1014" t="str">
        <f t="shared" ref="G96:M96" si="15">G46</f>
        <v>Average loss during wear, Kawecki et al. 2019, SI table 17</v>
      </c>
      <c r="H96" s="1014">
        <f t="shared" si="15"/>
        <v>2</v>
      </c>
      <c r="I96" s="1014">
        <f t="shared" si="15"/>
        <v>2</v>
      </c>
      <c r="J96" s="1014">
        <f t="shared" si="15"/>
        <v>2</v>
      </c>
      <c r="K96" s="1014">
        <f t="shared" si="15"/>
        <v>2</v>
      </c>
      <c r="L96" s="1014">
        <f t="shared" si="15"/>
        <v>2</v>
      </c>
      <c r="M96" s="1014">
        <f t="shared" si="15"/>
        <v>2</v>
      </c>
    </row>
    <row r="97" spans="1:13" s="1014" customFormat="1">
      <c r="A97" s="1014" t="s">
        <v>2066</v>
      </c>
      <c r="B97" s="1014" t="s">
        <v>2256</v>
      </c>
      <c r="C97" s="1014" t="s">
        <v>139</v>
      </c>
      <c r="D97" s="1014" t="s">
        <v>139</v>
      </c>
      <c r="E97" s="1014">
        <f>E56*E50</f>
        <v>0.50312459302325574</v>
      </c>
      <c r="F97" s="1014">
        <v>2</v>
      </c>
      <c r="G97" s="1014" t="str">
        <f t="shared" ref="G97:M97" si="16">G50</f>
        <v>Massabalans textiel, 2022</v>
      </c>
      <c r="H97" s="1014">
        <f t="shared" si="16"/>
        <v>1</v>
      </c>
      <c r="I97" s="1014">
        <f t="shared" si="16"/>
        <v>2</v>
      </c>
      <c r="J97" s="1014">
        <f t="shared" si="16"/>
        <v>2</v>
      </c>
      <c r="K97" s="1014">
        <f t="shared" si="16"/>
        <v>1</v>
      </c>
      <c r="L97" s="1014">
        <f t="shared" si="16"/>
        <v>2</v>
      </c>
      <c r="M97" s="1014">
        <f t="shared" si="16"/>
        <v>2</v>
      </c>
    </row>
    <row r="98" spans="1:13" s="1014" customFormat="1">
      <c r="A98" s="1014" t="s">
        <v>2066</v>
      </c>
      <c r="B98" s="1014" t="s">
        <v>223</v>
      </c>
      <c r="C98" s="1014" t="s">
        <v>139</v>
      </c>
      <c r="D98" s="1014" t="s">
        <v>139</v>
      </c>
      <c r="E98" s="1014" t="s">
        <v>150</v>
      </c>
      <c r="F98" s="1014">
        <v>1</v>
      </c>
    </row>
    <row r="99" spans="1:13" s="1014" customFormat="1">
      <c r="A99" s="1014" t="s">
        <v>2066</v>
      </c>
      <c r="B99" s="1014" t="s">
        <v>204</v>
      </c>
      <c r="C99" s="1014" t="s">
        <v>139</v>
      </c>
      <c r="D99" s="1014" t="s">
        <v>139</v>
      </c>
      <c r="E99" s="1014">
        <f>E56*E52</f>
        <v>2.6918324999999996E-4</v>
      </c>
      <c r="F99" s="1014">
        <v>2</v>
      </c>
      <c r="G99" s="1014" t="str">
        <f t="shared" ref="G99:M99" si="17">G52</f>
        <v>Kawecki &amp; Nowack (2019)</v>
      </c>
      <c r="H99" s="1014">
        <f t="shared" si="17"/>
        <v>2</v>
      </c>
      <c r="I99" s="1014">
        <f t="shared" si="17"/>
        <v>2</v>
      </c>
      <c r="J99" s="1014">
        <f t="shared" si="17"/>
        <v>2</v>
      </c>
      <c r="K99" s="1014">
        <f t="shared" si="17"/>
        <v>3</v>
      </c>
      <c r="L99" s="1014">
        <f t="shared" si="17"/>
        <v>3</v>
      </c>
      <c r="M99" s="1014">
        <f t="shared" si="17"/>
        <v>3</v>
      </c>
    </row>
    <row r="100" spans="1:13" s="1014" customFormat="1"/>
    <row r="101" spans="1:13" s="222" customFormat="1">
      <c r="A101" s="222" t="s">
        <v>2282</v>
      </c>
    </row>
    <row r="102" spans="1:13">
      <c r="A102" t="s">
        <v>2066</v>
      </c>
      <c r="B102" t="s">
        <v>2285</v>
      </c>
      <c r="C102" t="s">
        <v>139</v>
      </c>
      <c r="D102" t="s">
        <v>139</v>
      </c>
      <c r="E102">
        <f>E96</f>
        <v>3.0249999999999999E-3</v>
      </c>
      <c r="F102">
        <v>2</v>
      </c>
      <c r="G102" t="str">
        <f t="shared" ref="G102:M102" si="18">G105</f>
        <v>Average loss during wear, Kawecki et al. 2019, SI table 17</v>
      </c>
      <c r="H102">
        <f t="shared" si="18"/>
        <v>2</v>
      </c>
      <c r="I102">
        <f t="shared" si="18"/>
        <v>2</v>
      </c>
      <c r="J102">
        <f t="shared" si="18"/>
        <v>2</v>
      </c>
      <c r="K102">
        <f t="shared" si="18"/>
        <v>2</v>
      </c>
      <c r="L102">
        <f t="shared" si="18"/>
        <v>2</v>
      </c>
      <c r="M102">
        <f t="shared" si="18"/>
        <v>2</v>
      </c>
    </row>
    <row r="103" spans="1:13">
      <c r="A103" t="s">
        <v>2066</v>
      </c>
      <c r="B103" t="s">
        <v>2286</v>
      </c>
      <c r="C103" t="s">
        <v>139</v>
      </c>
      <c r="D103" t="s">
        <v>139</v>
      </c>
      <c r="E103" t="s">
        <v>150</v>
      </c>
      <c r="F103">
        <v>1</v>
      </c>
    </row>
    <row r="105" spans="1:13">
      <c r="A105" t="s">
        <v>2285</v>
      </c>
      <c r="B105" t="s">
        <v>2071</v>
      </c>
      <c r="C105" t="s">
        <v>139</v>
      </c>
      <c r="D105" t="s">
        <v>139</v>
      </c>
      <c r="E105">
        <f>E102/E96</f>
        <v>1</v>
      </c>
      <c r="F105">
        <v>1</v>
      </c>
      <c r="G105" t="str">
        <f t="shared" ref="G105:M105" si="19">G46</f>
        <v>Average loss during wear, Kawecki et al. 2019, SI table 17</v>
      </c>
      <c r="H105">
        <f t="shared" si="19"/>
        <v>2</v>
      </c>
      <c r="I105">
        <f t="shared" si="19"/>
        <v>2</v>
      </c>
      <c r="J105">
        <f t="shared" si="19"/>
        <v>2</v>
      </c>
      <c r="K105">
        <f t="shared" si="19"/>
        <v>2</v>
      </c>
      <c r="L105">
        <f t="shared" si="19"/>
        <v>2</v>
      </c>
      <c r="M105">
        <f t="shared" si="19"/>
        <v>2</v>
      </c>
    </row>
    <row r="106" spans="1:13">
      <c r="A106" t="s">
        <v>2286</v>
      </c>
      <c r="B106" t="s">
        <v>2256</v>
      </c>
      <c r="C106" t="s">
        <v>139</v>
      </c>
      <c r="D106" t="s">
        <v>139</v>
      </c>
      <c r="E106">
        <f t="shared" ref="E106:M106" si="20">E50</f>
        <v>0.50465116279069766</v>
      </c>
      <c r="F106">
        <f t="shared" si="20"/>
        <v>2</v>
      </c>
      <c r="G106" t="str">
        <f t="shared" si="20"/>
        <v>Massabalans textiel, 2022</v>
      </c>
      <c r="H106">
        <f t="shared" si="20"/>
        <v>1</v>
      </c>
      <c r="I106">
        <f t="shared" si="20"/>
        <v>2</v>
      </c>
      <c r="J106">
        <f t="shared" si="20"/>
        <v>2</v>
      </c>
      <c r="K106">
        <f t="shared" si="20"/>
        <v>1</v>
      </c>
      <c r="L106">
        <f t="shared" si="20"/>
        <v>2</v>
      </c>
      <c r="M106">
        <f t="shared" si="20"/>
        <v>2</v>
      </c>
    </row>
    <row r="107" spans="1:13">
      <c r="A107" t="s">
        <v>2286</v>
      </c>
      <c r="B107" t="s">
        <v>223</v>
      </c>
      <c r="C107" t="s">
        <v>139</v>
      </c>
      <c r="D107" t="s">
        <v>139</v>
      </c>
      <c r="E107" t="str">
        <f>E51</f>
        <v>rest</v>
      </c>
      <c r="F107">
        <v>1</v>
      </c>
      <c r="G107">
        <f t="shared" ref="G107:M108" si="21">G51</f>
        <v>0</v>
      </c>
      <c r="H107">
        <f t="shared" si="21"/>
        <v>0</v>
      </c>
      <c r="I107">
        <f t="shared" si="21"/>
        <v>0</v>
      </c>
      <c r="J107">
        <f t="shared" si="21"/>
        <v>0</v>
      </c>
      <c r="K107">
        <f t="shared" si="21"/>
        <v>0</v>
      </c>
      <c r="L107">
        <f t="shared" si="21"/>
        <v>0</v>
      </c>
      <c r="M107">
        <f t="shared" si="21"/>
        <v>0</v>
      </c>
    </row>
    <row r="108" spans="1:13">
      <c r="A108" t="s">
        <v>2286</v>
      </c>
      <c r="B108" t="s">
        <v>204</v>
      </c>
      <c r="C108" t="s">
        <v>139</v>
      </c>
      <c r="D108" t="s">
        <v>139</v>
      </c>
      <c r="E108">
        <f>E52</f>
        <v>2.7E-4</v>
      </c>
      <c r="F108">
        <v>2</v>
      </c>
      <c r="G108" t="str">
        <f t="shared" si="21"/>
        <v>Kawecki &amp; Nowack (2019)</v>
      </c>
      <c r="H108">
        <f t="shared" si="21"/>
        <v>2</v>
      </c>
      <c r="I108">
        <f t="shared" si="21"/>
        <v>2</v>
      </c>
      <c r="J108">
        <f t="shared" si="21"/>
        <v>2</v>
      </c>
      <c r="K108">
        <f t="shared" si="21"/>
        <v>3</v>
      </c>
      <c r="L108">
        <f t="shared" si="21"/>
        <v>3</v>
      </c>
      <c r="M108">
        <f t="shared" si="21"/>
        <v>3</v>
      </c>
    </row>
    <row r="110" spans="1:13" s="898" customFormat="1">
      <c r="A110" s="899" t="s">
        <v>2232</v>
      </c>
    </row>
    <row r="111" spans="1:13">
      <c r="A111" t="s">
        <v>2233</v>
      </c>
      <c r="B111" t="s">
        <v>2236</v>
      </c>
      <c r="C111" t="s">
        <v>139</v>
      </c>
      <c r="D111" t="s">
        <v>139</v>
      </c>
      <c r="E111">
        <f>E43</f>
        <v>0.25</v>
      </c>
      <c r="F111">
        <v>2</v>
      </c>
      <c r="G111" t="str">
        <f t="shared" ref="G111:M111" si="22">G43</f>
        <v>(de Waart et al., 2023)</v>
      </c>
      <c r="H111">
        <f t="shared" si="22"/>
        <v>2</v>
      </c>
      <c r="I111">
        <f t="shared" si="22"/>
        <v>2</v>
      </c>
      <c r="J111">
        <f t="shared" si="22"/>
        <v>2</v>
      </c>
      <c r="K111">
        <f t="shared" si="22"/>
        <v>3</v>
      </c>
      <c r="L111">
        <f t="shared" si="22"/>
        <v>2</v>
      </c>
      <c r="M111">
        <f t="shared" si="22"/>
        <v>2</v>
      </c>
    </row>
    <row r="112" spans="1:13">
      <c r="A112" t="s">
        <v>2233</v>
      </c>
      <c r="B112" t="s">
        <v>223</v>
      </c>
      <c r="C112" t="s">
        <v>139</v>
      </c>
      <c r="D112" t="s">
        <v>139</v>
      </c>
      <c r="E112" t="s">
        <v>150</v>
      </c>
      <c r="F112">
        <v>1</v>
      </c>
    </row>
    <row r="113" spans="1:13">
      <c r="A113" t="s">
        <v>2233</v>
      </c>
      <c r="B113" t="s">
        <v>204</v>
      </c>
      <c r="C113" t="s">
        <v>139</v>
      </c>
      <c r="D113" t="s">
        <v>139</v>
      </c>
      <c r="E113">
        <f>E99</f>
        <v>2.6918324999999996E-4</v>
      </c>
      <c r="F113">
        <v>2</v>
      </c>
      <c r="G113" t="str">
        <f t="shared" ref="G113:M113" si="23">G99</f>
        <v>Kawecki &amp; Nowack (2019)</v>
      </c>
      <c r="H113">
        <f t="shared" si="23"/>
        <v>2</v>
      </c>
      <c r="I113">
        <f t="shared" si="23"/>
        <v>2</v>
      </c>
      <c r="J113">
        <f t="shared" si="23"/>
        <v>2</v>
      </c>
      <c r="K113">
        <f t="shared" si="23"/>
        <v>3</v>
      </c>
      <c r="L113">
        <f t="shared" si="23"/>
        <v>3</v>
      </c>
      <c r="M113">
        <f t="shared" si="23"/>
        <v>3</v>
      </c>
    </row>
    <row r="114" spans="1:13">
      <c r="A114" t="s">
        <v>2233</v>
      </c>
      <c r="B114" t="s">
        <v>2234</v>
      </c>
      <c r="C114" t="s">
        <v>139</v>
      </c>
      <c r="D114" t="str">
        <f t="shared" ref="D114:E117" si="24">D31</f>
        <v>RUBBER</v>
      </c>
      <c r="E114">
        <f t="shared" si="24"/>
        <v>5.7712387375211246E-3</v>
      </c>
      <c r="F114">
        <v>3</v>
      </c>
      <c r="G114" t="str">
        <f t="shared" ref="G114:M121" si="25">G31</f>
        <v>See shoesole wear calculation in clothing tab of MainInputFile</v>
      </c>
      <c r="H114">
        <f t="shared" si="25"/>
        <v>1</v>
      </c>
      <c r="I114">
        <f t="shared" si="25"/>
        <v>2</v>
      </c>
      <c r="J114">
        <f t="shared" si="25"/>
        <v>2</v>
      </c>
      <c r="K114">
        <f t="shared" si="25"/>
        <v>2</v>
      </c>
      <c r="L114">
        <f t="shared" si="25"/>
        <v>2</v>
      </c>
      <c r="M114">
        <f t="shared" si="25"/>
        <v>3</v>
      </c>
    </row>
    <row r="115" spans="1:13">
      <c r="A115" t="s">
        <v>2233</v>
      </c>
      <c r="B115" t="s">
        <v>2234</v>
      </c>
      <c r="C115" t="s">
        <v>139</v>
      </c>
      <c r="D115" t="str">
        <f t="shared" si="24"/>
        <v>RUBBER</v>
      </c>
      <c r="E115">
        <f t="shared" si="24"/>
        <v>1.1542477475042249E-2</v>
      </c>
      <c r="F115">
        <v>3</v>
      </c>
      <c r="G115" t="str">
        <f t="shared" si="25"/>
        <v>See shoesole wear calculation in clothing tab of MainInputFile</v>
      </c>
      <c r="H115">
        <f t="shared" si="25"/>
        <v>1</v>
      </c>
      <c r="I115">
        <f t="shared" si="25"/>
        <v>2</v>
      </c>
      <c r="J115">
        <f t="shared" si="25"/>
        <v>2</v>
      </c>
      <c r="K115">
        <f t="shared" si="25"/>
        <v>2</v>
      </c>
      <c r="L115">
        <f t="shared" si="25"/>
        <v>2</v>
      </c>
      <c r="M115">
        <f t="shared" si="25"/>
        <v>3</v>
      </c>
    </row>
    <row r="116" spans="1:13">
      <c r="A116" t="s">
        <v>2233</v>
      </c>
      <c r="B116" t="s">
        <v>2234</v>
      </c>
      <c r="C116" t="s">
        <v>139</v>
      </c>
      <c r="D116" t="str">
        <f t="shared" si="24"/>
        <v>PUR</v>
      </c>
      <c r="E116">
        <f t="shared" si="24"/>
        <v>2.5413504031689942E-3</v>
      </c>
      <c r="F116">
        <v>3</v>
      </c>
      <c r="G116" t="str">
        <f t="shared" si="25"/>
        <v>See shoesole wear calculation in clothing tab of MainInputFile</v>
      </c>
      <c r="H116">
        <f t="shared" si="25"/>
        <v>1</v>
      </c>
      <c r="I116">
        <f t="shared" si="25"/>
        <v>2</v>
      </c>
      <c r="J116">
        <f t="shared" si="25"/>
        <v>2</v>
      </c>
      <c r="K116">
        <f t="shared" si="25"/>
        <v>2</v>
      </c>
      <c r="L116">
        <f t="shared" si="25"/>
        <v>2</v>
      </c>
      <c r="M116">
        <f t="shared" si="25"/>
        <v>3</v>
      </c>
    </row>
    <row r="117" spans="1:13">
      <c r="A117" t="s">
        <v>2233</v>
      </c>
      <c r="B117" t="s">
        <v>2234</v>
      </c>
      <c r="C117" t="s">
        <v>139</v>
      </c>
      <c r="D117" t="str">
        <f t="shared" si="24"/>
        <v>PUR</v>
      </c>
      <c r="E117">
        <f t="shared" si="24"/>
        <v>5.0827008063379885E-3</v>
      </c>
      <c r="F117">
        <v>3</v>
      </c>
      <c r="G117" t="str">
        <f t="shared" si="25"/>
        <v>See shoesole wear calculation in clothing tab of MainInputFile</v>
      </c>
      <c r="H117">
        <f t="shared" si="25"/>
        <v>1</v>
      </c>
      <c r="I117">
        <f t="shared" si="25"/>
        <v>2</v>
      </c>
      <c r="J117">
        <f t="shared" si="25"/>
        <v>2</v>
      </c>
      <c r="K117">
        <f t="shared" si="25"/>
        <v>2</v>
      </c>
      <c r="L117">
        <f t="shared" si="25"/>
        <v>2</v>
      </c>
      <c r="M117">
        <f t="shared" si="25"/>
        <v>3</v>
      </c>
    </row>
    <row r="118" spans="1:13">
      <c r="A118" t="s">
        <v>2233</v>
      </c>
      <c r="B118" t="s">
        <v>2234</v>
      </c>
      <c r="C118" t="s">
        <v>139</v>
      </c>
      <c r="D118" t="str">
        <f>D36</f>
        <v>OTHER</v>
      </c>
      <c r="E118">
        <f>E35</f>
        <v>2.6370870403593857E-3</v>
      </c>
      <c r="F118">
        <v>3</v>
      </c>
      <c r="G118" t="str">
        <f t="shared" si="25"/>
        <v>See shoesole wear calculation in clothing tab of MainInputFile</v>
      </c>
      <c r="H118">
        <f t="shared" si="25"/>
        <v>1</v>
      </c>
      <c r="I118">
        <f t="shared" si="25"/>
        <v>2</v>
      </c>
      <c r="J118">
        <f t="shared" si="25"/>
        <v>2</v>
      </c>
      <c r="K118">
        <f t="shared" si="25"/>
        <v>2</v>
      </c>
      <c r="L118">
        <f t="shared" si="25"/>
        <v>2</v>
      </c>
      <c r="M118">
        <f t="shared" si="25"/>
        <v>3</v>
      </c>
    </row>
    <row r="119" spans="1:13">
      <c r="A119" t="s">
        <v>2233</v>
      </c>
      <c r="B119" t="s">
        <v>2234</v>
      </c>
      <c r="C119" t="s">
        <v>139</v>
      </c>
      <c r="D119" t="str">
        <f>D36</f>
        <v>OTHER</v>
      </c>
      <c r="E119">
        <f>E36</f>
        <v>5.2741740807187715E-3</v>
      </c>
      <c r="F119">
        <v>3</v>
      </c>
      <c r="G119" t="str">
        <f t="shared" si="25"/>
        <v>See shoesole wear calculation in clothing tab of MainInputFile</v>
      </c>
      <c r="H119">
        <f t="shared" si="25"/>
        <v>1</v>
      </c>
      <c r="I119">
        <f t="shared" si="25"/>
        <v>2</v>
      </c>
      <c r="J119">
        <f t="shared" si="25"/>
        <v>2</v>
      </c>
      <c r="K119">
        <f t="shared" si="25"/>
        <v>2</v>
      </c>
      <c r="L119">
        <f t="shared" si="25"/>
        <v>2</v>
      </c>
      <c r="M119">
        <f t="shared" si="25"/>
        <v>3</v>
      </c>
    </row>
    <row r="120" spans="1:13">
      <c r="A120" t="s">
        <v>2233</v>
      </c>
      <c r="B120" t="s">
        <v>2234</v>
      </c>
      <c r="C120" t="s">
        <v>139</v>
      </c>
      <c r="D120" t="str">
        <f>D37</f>
        <v>PVC</v>
      </c>
      <c r="E120">
        <f>E37</f>
        <v>3.2506855134566658E-3</v>
      </c>
      <c r="F120">
        <v>3</v>
      </c>
      <c r="G120" t="str">
        <f t="shared" si="25"/>
        <v>See shoesole wear calculation in clothing tab of MainInputFile</v>
      </c>
      <c r="H120">
        <f t="shared" si="25"/>
        <v>1</v>
      </c>
      <c r="I120">
        <f t="shared" si="25"/>
        <v>2</v>
      </c>
      <c r="J120">
        <f t="shared" si="25"/>
        <v>2</v>
      </c>
      <c r="K120">
        <f t="shared" si="25"/>
        <v>2</v>
      </c>
      <c r="L120">
        <f t="shared" si="25"/>
        <v>2</v>
      </c>
      <c r="M120">
        <f t="shared" si="25"/>
        <v>3</v>
      </c>
    </row>
    <row r="121" spans="1:13">
      <c r="A121" t="s">
        <v>2233</v>
      </c>
      <c r="B121" t="s">
        <v>2234</v>
      </c>
      <c r="C121" t="s">
        <v>139</v>
      </c>
      <c r="D121" t="str">
        <f>D38</f>
        <v>PVC</v>
      </c>
      <c r="E121">
        <f>E38</f>
        <v>6.5013710269133315E-3</v>
      </c>
      <c r="F121">
        <v>3</v>
      </c>
      <c r="G121" t="str">
        <f t="shared" si="25"/>
        <v>See shoesole wear calculation in clothing tab of MainInputFile</v>
      </c>
      <c r="H121">
        <f t="shared" si="25"/>
        <v>1</v>
      </c>
      <c r="I121">
        <f t="shared" si="25"/>
        <v>2</v>
      </c>
      <c r="J121">
        <f t="shared" si="25"/>
        <v>2</v>
      </c>
      <c r="K121">
        <f t="shared" si="25"/>
        <v>2</v>
      </c>
      <c r="L121">
        <f t="shared" si="25"/>
        <v>2</v>
      </c>
      <c r="M121">
        <f t="shared" si="25"/>
        <v>3</v>
      </c>
    </row>
    <row r="122" spans="1:13">
      <c r="A122" t="s">
        <v>2233</v>
      </c>
      <c r="B122" t="s">
        <v>2235</v>
      </c>
      <c r="C122" t="s">
        <v>139</v>
      </c>
      <c r="D122" t="str">
        <f>D40</f>
        <v>PA</v>
      </c>
      <c r="E122">
        <f>E40</f>
        <v>3.0249999999999999E-3</v>
      </c>
      <c r="F122">
        <v>3</v>
      </c>
      <c r="G122" t="str">
        <f>G40</f>
        <v>Average loss during wear, Kawecki et al. 2019, SI table 17</v>
      </c>
      <c r="H122">
        <f t="shared" ref="H122:M122" si="26">H58</f>
        <v>2</v>
      </c>
      <c r="I122">
        <f t="shared" si="26"/>
        <v>2</v>
      </c>
      <c r="J122">
        <f t="shared" si="26"/>
        <v>2</v>
      </c>
      <c r="K122">
        <f t="shared" si="26"/>
        <v>2</v>
      </c>
      <c r="L122">
        <f t="shared" si="26"/>
        <v>2</v>
      </c>
      <c r="M122">
        <f t="shared" si="26"/>
        <v>2</v>
      </c>
    </row>
    <row r="123" spans="1:13">
      <c r="A123" t="s">
        <v>2233</v>
      </c>
      <c r="B123" t="s">
        <v>2235</v>
      </c>
      <c r="C123" t="s">
        <v>139</v>
      </c>
      <c r="D123" t="str">
        <f>D41</f>
        <v>PET</v>
      </c>
      <c r="E123">
        <f>E41</f>
        <v>3.0249999999999999E-3</v>
      </c>
      <c r="F123">
        <v>3</v>
      </c>
      <c r="G123" t="str">
        <f>G41</f>
        <v>Average loss during wear, Kawecki et al. 2019, SI table 17</v>
      </c>
      <c r="H123">
        <f t="shared" ref="H123:M123" si="27">H46</f>
        <v>2</v>
      </c>
      <c r="I123">
        <f t="shared" si="27"/>
        <v>2</v>
      </c>
      <c r="J123">
        <f t="shared" si="27"/>
        <v>2</v>
      </c>
      <c r="K123">
        <f t="shared" si="27"/>
        <v>2</v>
      </c>
      <c r="L123">
        <f t="shared" si="27"/>
        <v>2</v>
      </c>
      <c r="M123">
        <f t="shared" si="27"/>
        <v>2</v>
      </c>
    </row>
    <row r="125" spans="1:13" s="1077" customFormat="1">
      <c r="A125" s="1076" t="s">
        <v>2183</v>
      </c>
    </row>
    <row r="126" spans="1:13" s="1077" customFormat="1"/>
    <row r="128" spans="1:13" s="937" customFormat="1">
      <c r="A128" s="937" t="s">
        <v>2207</v>
      </c>
    </row>
    <row r="129" spans="1:11">
      <c r="B129" t="s">
        <v>2293</v>
      </c>
      <c r="C129" t="s">
        <v>104</v>
      </c>
    </row>
    <row r="130" spans="1:11">
      <c r="A130" t="s">
        <v>2291</v>
      </c>
      <c r="B130">
        <v>22</v>
      </c>
    </row>
    <row r="131" spans="1:11">
      <c r="A131" t="s">
        <v>2292</v>
      </c>
      <c r="B131">
        <v>10</v>
      </c>
    </row>
    <row r="132" spans="1:11">
      <c r="B132" s="222">
        <f>AVERAGE(B130:B131)</f>
        <v>16</v>
      </c>
    </row>
    <row r="133" spans="1:11">
      <c r="A133" s="222" t="s">
        <v>2184</v>
      </c>
    </row>
    <row r="134" spans="1:11">
      <c r="B134" t="s">
        <v>2186</v>
      </c>
      <c r="C134" t="s">
        <v>2187</v>
      </c>
      <c r="D134" t="s">
        <v>2193</v>
      </c>
      <c r="G134" t="s">
        <v>785</v>
      </c>
      <c r="H134" t="s">
        <v>93</v>
      </c>
      <c r="I134" t="s">
        <v>2198</v>
      </c>
      <c r="J134" t="s">
        <v>90</v>
      </c>
    </row>
    <row r="135" spans="1:11">
      <c r="A135" t="s">
        <v>2185</v>
      </c>
      <c r="B135">
        <v>238</v>
      </c>
      <c r="C135" t="s">
        <v>2188</v>
      </c>
      <c r="F135" t="s">
        <v>2204</v>
      </c>
      <c r="G135">
        <f>$B$146*$B$136</f>
        <v>11.9</v>
      </c>
      <c r="H135">
        <f>B146*$B$137</f>
        <v>8.7266666666666683</v>
      </c>
      <c r="I135">
        <f>B146*$B$138</f>
        <v>7.5366666666666662</v>
      </c>
      <c r="J135">
        <f>B146*B139</f>
        <v>11.027333333333333</v>
      </c>
      <c r="K135" t="s">
        <v>2206</v>
      </c>
    </row>
    <row r="136" spans="1:11">
      <c r="A136" t="s">
        <v>2189</v>
      </c>
      <c r="B136">
        <v>1.5</v>
      </c>
      <c r="C136" t="s">
        <v>2192</v>
      </c>
      <c r="F136" t="s">
        <v>2202</v>
      </c>
      <c r="G136">
        <f>$B$147*$B$136</f>
        <v>23.8</v>
      </c>
      <c r="H136">
        <f>B147*$B$137</f>
        <v>17.453333333333337</v>
      </c>
      <c r="I136">
        <f>B147*$B$138</f>
        <v>15.073333333333332</v>
      </c>
      <c r="J136">
        <f>B147*B139</f>
        <v>22.054666666666666</v>
      </c>
      <c r="K136" t="s">
        <v>2206</v>
      </c>
    </row>
    <row r="137" spans="1:11">
      <c r="A137" t="s">
        <v>2190</v>
      </c>
      <c r="B137">
        <v>1.1000000000000001</v>
      </c>
      <c r="C137" t="s">
        <v>2192</v>
      </c>
    </row>
    <row r="138" spans="1:11">
      <c r="A138" t="s">
        <v>2191</v>
      </c>
      <c r="B138">
        <v>0.95</v>
      </c>
      <c r="C138" t="s">
        <v>2192</v>
      </c>
      <c r="F138" t="s">
        <v>2204</v>
      </c>
      <c r="G138">
        <f t="shared" ref="G138:J139" si="28">G135*2</f>
        <v>23.8</v>
      </c>
      <c r="H138">
        <f t="shared" si="28"/>
        <v>17.453333333333337</v>
      </c>
      <c r="I138">
        <f t="shared" si="28"/>
        <v>15.073333333333332</v>
      </c>
      <c r="J138">
        <f t="shared" si="28"/>
        <v>22.054666666666666</v>
      </c>
      <c r="K138" t="s">
        <v>2205</v>
      </c>
    </row>
    <row r="139" spans="1:11">
      <c r="A139" t="s">
        <v>2222</v>
      </c>
      <c r="B139">
        <v>1.39</v>
      </c>
      <c r="C139" t="s">
        <v>2192</v>
      </c>
      <c r="F139" t="s">
        <v>2202</v>
      </c>
      <c r="G139">
        <f t="shared" si="28"/>
        <v>47.6</v>
      </c>
      <c r="H139">
        <f t="shared" si="28"/>
        <v>34.906666666666673</v>
      </c>
      <c r="I139">
        <f t="shared" si="28"/>
        <v>30.146666666666665</v>
      </c>
      <c r="J139">
        <f t="shared" si="28"/>
        <v>44.109333333333332</v>
      </c>
      <c r="K139" t="s">
        <v>2205</v>
      </c>
    </row>
    <row r="140" spans="1:11">
      <c r="A140" t="s">
        <v>2194</v>
      </c>
      <c r="B140">
        <f>1/3</f>
        <v>0.33333333333333331</v>
      </c>
      <c r="C140" t="s">
        <v>2195</v>
      </c>
    </row>
    <row r="142" spans="1:11">
      <c r="A142" t="s">
        <v>2196</v>
      </c>
      <c r="B142">
        <v>0.1</v>
      </c>
      <c r="C142" t="s">
        <v>2200</v>
      </c>
    </row>
    <row r="143" spans="1:11">
      <c r="A143" t="s">
        <v>2197</v>
      </c>
      <c r="B143">
        <v>0.2</v>
      </c>
      <c r="C143" t="s">
        <v>2200</v>
      </c>
    </row>
    <row r="145" spans="1:7">
      <c r="A145" t="s">
        <v>2199</v>
      </c>
      <c r="B145">
        <f>$B$135*$B$140</f>
        <v>79.333333333333329</v>
      </c>
      <c r="C145" t="s">
        <v>2188</v>
      </c>
    </row>
    <row r="146" spans="1:7">
      <c r="A146" t="s">
        <v>2201</v>
      </c>
      <c r="B146">
        <f>B145*B142</f>
        <v>7.9333333333333336</v>
      </c>
      <c r="C146" t="s">
        <v>2203</v>
      </c>
    </row>
    <row r="147" spans="1:7">
      <c r="A147" t="s">
        <v>2223</v>
      </c>
      <c r="B147">
        <f>B145*B143</f>
        <v>15.866666666666667</v>
      </c>
      <c r="C147" t="s">
        <v>2203</v>
      </c>
    </row>
    <row r="148" spans="1:7" s="938" customFormat="1">
      <c r="A148" s="938" t="s">
        <v>2219</v>
      </c>
    </row>
    <row r="149" spans="1:7">
      <c r="A149" t="s">
        <v>2209</v>
      </c>
    </row>
    <row r="150" spans="1:7">
      <c r="B150" t="s">
        <v>785</v>
      </c>
      <c r="C150" t="s">
        <v>93</v>
      </c>
      <c r="D150" t="s">
        <v>2198</v>
      </c>
      <c r="E150" t="s">
        <v>90</v>
      </c>
      <c r="F150" t="s">
        <v>2210</v>
      </c>
      <c r="G150" t="s">
        <v>2211</v>
      </c>
    </row>
    <row r="151" spans="1:7">
      <c r="A151" t="s">
        <v>2054</v>
      </c>
      <c r="B151" s="939">
        <v>0.43243239999999999</v>
      </c>
      <c r="C151" s="939">
        <v>0.1081081</v>
      </c>
      <c r="D151" s="939">
        <v>0.3783784</v>
      </c>
      <c r="E151">
        <v>8.108108E-2</v>
      </c>
      <c r="F151">
        <v>36731193</v>
      </c>
      <c r="G151">
        <v>819556702</v>
      </c>
    </row>
    <row r="152" spans="1:7">
      <c r="A152" t="s">
        <v>2208</v>
      </c>
      <c r="B152" s="939">
        <v>0.52173910000000001</v>
      </c>
      <c r="C152" s="939">
        <v>0.1956522</v>
      </c>
      <c r="D152" s="939">
        <v>0.1521739</v>
      </c>
      <c r="E152">
        <v>0.13043478</v>
      </c>
      <c r="F152">
        <v>54767309</v>
      </c>
      <c r="G152">
        <v>1160450344</v>
      </c>
    </row>
    <row r="153" spans="1:7">
      <c r="A153" t="s">
        <v>2052</v>
      </c>
      <c r="B153" s="939">
        <v>0.29629630000000001</v>
      </c>
      <c r="C153" s="939">
        <v>0.44444444</v>
      </c>
      <c r="D153" s="939">
        <v>0</v>
      </c>
      <c r="E153">
        <v>0.25925925999999999</v>
      </c>
      <c r="F153">
        <v>23157429</v>
      </c>
      <c r="G153">
        <v>496728979</v>
      </c>
    </row>
    <row r="155" spans="1:7">
      <c r="A155" t="s">
        <v>2212</v>
      </c>
    </row>
    <row r="156" spans="1:7">
      <c r="B156" t="str">
        <f>B150</f>
        <v>Rubber</v>
      </c>
      <c r="C156" t="str">
        <f>C150</f>
        <v>PUR</v>
      </c>
      <c r="D156" t="str">
        <f>D150</f>
        <v>EVA</v>
      </c>
      <c r="E156" t="s">
        <v>90</v>
      </c>
    </row>
    <row r="157" spans="1:7">
      <c r="A157" t="str">
        <f>A151</f>
        <v>Open-toed shoes</v>
      </c>
      <c r="B157" s="940">
        <f>B151*$F$151</f>
        <v>15883757.943853199</v>
      </c>
      <c r="C157" s="940">
        <f>C151*$F$151</f>
        <v>3970939.4859632999</v>
      </c>
      <c r="D157" s="940">
        <f>D151*$F$151</f>
        <v>13898290.037431201</v>
      </c>
      <c r="E157" s="940">
        <f>E151*$F$151</f>
        <v>2978204.79812844</v>
      </c>
    </row>
    <row r="158" spans="1:7">
      <c r="A158" t="str">
        <f>A152</f>
        <v>Close-toed shoes</v>
      </c>
      <c r="B158" s="940">
        <f>B152*$F$152</f>
        <v>28574246.5070819</v>
      </c>
      <c r="C158" s="940">
        <f>C152*$F$152</f>
        <v>10715344.4939298</v>
      </c>
      <c r="D158" s="940">
        <f>D152*$F$152</f>
        <v>8334155.0030351002</v>
      </c>
      <c r="E158" s="940">
        <f>E152*$F$152</f>
        <v>7143561.9006070197</v>
      </c>
    </row>
    <row r="159" spans="1:7">
      <c r="A159" t="str">
        <f>A153</f>
        <v>Boots</v>
      </c>
      <c r="B159" s="940">
        <f>B153*$F$153</f>
        <v>6861460.5302127004</v>
      </c>
      <c r="C159" s="940">
        <f>C153*$F$153</f>
        <v>10292190.563744759</v>
      </c>
      <c r="D159" s="940">
        <f>D153*$F$153</f>
        <v>0</v>
      </c>
      <c r="E159" s="940">
        <f>E153*$F$153</f>
        <v>6003777.9060425395</v>
      </c>
    </row>
    <row r="161" spans="1:5">
      <c r="B161" t="s">
        <v>785</v>
      </c>
      <c r="C161" t="s">
        <v>93</v>
      </c>
      <c r="D161" t="s">
        <v>2198</v>
      </c>
      <c r="E161" t="s">
        <v>90</v>
      </c>
    </row>
    <row r="162" spans="1:5">
      <c r="A162" t="s">
        <v>2214</v>
      </c>
      <c r="B162" s="940">
        <f>SUM(B157:B159)</f>
        <v>51319464.981147796</v>
      </c>
      <c r="C162" s="940">
        <f>SUM(C157:C159)</f>
        <v>24978474.543637857</v>
      </c>
      <c r="D162" s="940">
        <f>SUM(D157:D159)</f>
        <v>22232445.040466301</v>
      </c>
      <c r="E162" s="940">
        <f>SUM(E157:E159)</f>
        <v>16125544.604777999</v>
      </c>
    </row>
    <row r="164" spans="1:5">
      <c r="A164" t="s">
        <v>2215</v>
      </c>
      <c r="B164">
        <f>B162*G138</f>
        <v>1221403266.5513177</v>
      </c>
      <c r="C164">
        <f>C162*H138</f>
        <v>435957642.36829281</v>
      </c>
      <c r="D164">
        <f>D162*I138</f>
        <v>335117054.909962</v>
      </c>
      <c r="E164">
        <f>E162*J138</f>
        <v>355643511.07684386</v>
      </c>
    </row>
    <row r="165" spans="1:5">
      <c r="A165" t="s">
        <v>2216</v>
      </c>
      <c r="B165">
        <f>B162*G139</f>
        <v>2442806533.1026354</v>
      </c>
      <c r="C165">
        <f>C162*H139</f>
        <v>871915284.73658562</v>
      </c>
      <c r="D165">
        <f>D162*I139</f>
        <v>670234109.819924</v>
      </c>
      <c r="E165">
        <f>E162*J139</f>
        <v>711287022.15368772</v>
      </c>
    </row>
    <row r="167" spans="1:5">
      <c r="A167" t="s">
        <v>2217</v>
      </c>
      <c r="B167">
        <f t="shared" ref="B167:E168" si="29">B164*10^-9</f>
        <v>1.2214032665513177</v>
      </c>
      <c r="C167">
        <f t="shared" si="29"/>
        <v>0.43595764236829282</v>
      </c>
      <c r="D167">
        <f t="shared" si="29"/>
        <v>0.33511705490996202</v>
      </c>
      <c r="E167">
        <f t="shared" si="29"/>
        <v>0.35564351107684389</v>
      </c>
    </row>
    <row r="168" spans="1:5">
      <c r="A168" t="s">
        <v>2218</v>
      </c>
      <c r="B168">
        <f t="shared" si="29"/>
        <v>2.4428065331026354</v>
      </c>
      <c r="C168">
        <f t="shared" si="29"/>
        <v>0.87191528473658564</v>
      </c>
      <c r="D168">
        <f t="shared" si="29"/>
        <v>0.67023410981992404</v>
      </c>
      <c r="E168">
        <f t="shared" si="29"/>
        <v>0.71128702215368778</v>
      </c>
    </row>
    <row r="170" spans="1:5">
      <c r="A170" t="s">
        <v>2224</v>
      </c>
    </row>
    <row r="172" spans="1:5">
      <c r="B172" t="s">
        <v>785</v>
      </c>
      <c r="C172" t="s">
        <v>93</v>
      </c>
      <c r="D172" t="s">
        <v>2198</v>
      </c>
      <c r="E172" t="s">
        <v>90</v>
      </c>
    </row>
    <row r="173" spans="1:5">
      <c r="B173">
        <v>13.227264999999999</v>
      </c>
      <c r="C173">
        <v>10.721603999999999</v>
      </c>
      <c r="D173">
        <v>7.9424060000000001</v>
      </c>
      <c r="E173">
        <v>6.8378560000000004</v>
      </c>
    </row>
    <row r="176" spans="1:5">
      <c r="A176" s="937" t="s">
        <v>2213</v>
      </c>
      <c r="B176" s="937"/>
    </row>
    <row r="177" spans="1:5">
      <c r="A177" s="996"/>
      <c r="B177" s="996"/>
      <c r="C177" s="996"/>
      <c r="D177" s="996"/>
      <c r="E177" s="996"/>
    </row>
    <row r="178" spans="1:5">
      <c r="A178" s="996"/>
      <c r="B178" s="996" t="s">
        <v>785</v>
      </c>
      <c r="C178" s="996" t="s">
        <v>93</v>
      </c>
      <c r="D178" s="996" t="s">
        <v>2198</v>
      </c>
      <c r="E178" s="996" t="s">
        <v>90</v>
      </c>
    </row>
    <row r="179" spans="1:5">
      <c r="A179" s="996" t="s">
        <v>2220</v>
      </c>
      <c r="B179" s="996">
        <f>B167/B173</f>
        <v>9.2339819800337994E-2</v>
      </c>
      <c r="C179" s="996">
        <f>C167/C173</f>
        <v>4.0661606450703908E-2</v>
      </c>
      <c r="D179" s="996">
        <f>D167/D173</f>
        <v>4.2193392645750172E-2</v>
      </c>
      <c r="E179" s="996">
        <f>E167/E173</f>
        <v>5.2010968215306652E-2</v>
      </c>
    </row>
    <row r="180" spans="1:5">
      <c r="A180" s="996" t="s">
        <v>2221</v>
      </c>
      <c r="B180" s="996">
        <f>B168/B173</f>
        <v>0.18467963960067599</v>
      </c>
      <c r="C180" s="996">
        <f>C168/C173</f>
        <v>8.1323212901407815E-2</v>
      </c>
      <c r="D180" s="996">
        <f>D168/D173</f>
        <v>8.4386785291500344E-2</v>
      </c>
      <c r="E180" s="996">
        <f>E168/E173</f>
        <v>0.1040219364306133</v>
      </c>
    </row>
    <row r="181" spans="1:5">
      <c r="A181" s="996"/>
      <c r="B181" s="996"/>
      <c r="C181" s="996"/>
      <c r="D181" s="996"/>
      <c r="E181" s="996"/>
    </row>
    <row r="182" spans="1:5">
      <c r="A182" t="s">
        <v>2294</v>
      </c>
    </row>
    <row r="183" spans="1:5">
      <c r="B183" t="str">
        <f>B178</f>
        <v>Rubber</v>
      </c>
      <c r="C183" t="str">
        <f>C178</f>
        <v>PUR</v>
      </c>
      <c r="D183" t="str">
        <f>D178</f>
        <v>EVA</v>
      </c>
      <c r="E183" t="str">
        <f>E178</f>
        <v>PVC</v>
      </c>
    </row>
    <row r="184" spans="1:5">
      <c r="A184" t="str">
        <f>A179</f>
        <v>Low TC</v>
      </c>
      <c r="B184">
        <f t="shared" ref="B184:E185" si="30">B179/$B$132</f>
        <v>5.7712387375211246E-3</v>
      </c>
      <c r="C184">
        <f t="shared" si="30"/>
        <v>2.5413504031689942E-3</v>
      </c>
      <c r="D184">
        <f t="shared" si="30"/>
        <v>2.6370870403593857E-3</v>
      </c>
      <c r="E184">
        <f t="shared" si="30"/>
        <v>3.2506855134566658E-3</v>
      </c>
    </row>
    <row r="185" spans="1:5">
      <c r="A185" t="str">
        <f>A180</f>
        <v>High TC</v>
      </c>
      <c r="B185">
        <f t="shared" si="30"/>
        <v>1.1542477475042249E-2</v>
      </c>
      <c r="C185">
        <f t="shared" si="30"/>
        <v>5.0827008063379885E-3</v>
      </c>
      <c r="D185">
        <f t="shared" si="30"/>
        <v>5.2741740807187715E-3</v>
      </c>
      <c r="E185">
        <f t="shared" si="30"/>
        <v>6.5013710269133315E-3</v>
      </c>
    </row>
    <row r="187" spans="1:5">
      <c r="A187" s="380" t="s">
        <v>2225</v>
      </c>
    </row>
    <row r="189" spans="1:5" s="1002" customFormat="1">
      <c r="A189" s="1003" t="s">
        <v>2325</v>
      </c>
    </row>
    <row r="190" spans="1:5">
      <c r="A190" t="s">
        <v>2321</v>
      </c>
      <c r="B190" s="384">
        <v>0.08</v>
      </c>
      <c r="C190" t="s">
        <v>2322</v>
      </c>
    </row>
    <row r="191" spans="1:5">
      <c r="A191" t="s">
        <v>2323</v>
      </c>
      <c r="B191" s="384">
        <v>0.33</v>
      </c>
      <c r="C191" t="s">
        <v>2322</v>
      </c>
    </row>
    <row r="192" spans="1:5">
      <c r="A192" t="s">
        <v>2324</v>
      </c>
      <c r="B192" s="384">
        <v>0.89</v>
      </c>
      <c r="C192" t="s">
        <v>2322</v>
      </c>
    </row>
  </sheetData>
  <mergeCells count="1">
    <mergeCell ref="A125:XFD126"/>
  </mergeCells>
  <conditionalFormatting sqref="H46:M46">
    <cfRule type="dataBar" priority="9">
      <dataBar>
        <cfvo type="min"/>
        <cfvo type="num" val="4"/>
        <color rgb="FFFFC000"/>
      </dataBar>
      <extLst>
        <ext xmlns:x14="http://schemas.microsoft.com/office/spreadsheetml/2009/9/main" uri="{B025F937-C7B1-47D3-B67F-A62EFF666E3E}">
          <x14:id>{39972AFF-A933-4B21-9BD7-F2C90950DDF5}</x14:id>
        </ext>
      </extLst>
    </cfRule>
  </conditionalFormatting>
  <conditionalFormatting sqref="H46:M48">
    <cfRule type="containsBlanks" dxfId="159" priority="5" stopIfTrue="1">
      <formula>LEN(TRIM(H46))=0</formula>
    </cfRule>
    <cfRule type="cellIs" dxfId="158" priority="6" stopIfTrue="1" operator="notBetween">
      <formula>1</formula>
      <formula>4</formula>
    </cfRule>
  </conditionalFormatting>
  <conditionalFormatting sqref="H47:M47">
    <cfRule type="dataBar" priority="8">
      <dataBar>
        <cfvo type="min"/>
        <cfvo type="num" val="4"/>
        <color rgb="FFFFC000"/>
      </dataBar>
      <extLst>
        <ext xmlns:x14="http://schemas.microsoft.com/office/spreadsheetml/2009/9/main" uri="{B025F937-C7B1-47D3-B67F-A62EFF666E3E}">
          <x14:id>{28FE618F-D455-488B-A4CF-AF9DEFD30444}</x14:id>
        </ext>
      </extLst>
    </cfRule>
  </conditionalFormatting>
  <conditionalFormatting sqref="H48:M48">
    <cfRule type="dataBar" priority="7">
      <dataBar>
        <cfvo type="min"/>
        <cfvo type="num" val="4"/>
        <color rgb="FFFFC000"/>
      </dataBar>
      <extLst>
        <ext xmlns:x14="http://schemas.microsoft.com/office/spreadsheetml/2009/9/main" uri="{B025F937-C7B1-47D3-B67F-A62EFF666E3E}">
          <x14:id>{503F7A6E-53BA-436A-81F4-38AC3D9822AC}</x14:id>
        </ext>
      </extLst>
    </cfRule>
  </conditionalFormatting>
  <conditionalFormatting sqref="H51:M51">
    <cfRule type="dataBar" priority="3">
      <dataBar>
        <cfvo type="min"/>
        <cfvo type="num" val="4"/>
        <color rgb="FFFFC000"/>
      </dataBar>
      <extLst>
        <ext xmlns:x14="http://schemas.microsoft.com/office/spreadsheetml/2009/9/main" uri="{B025F937-C7B1-47D3-B67F-A62EFF666E3E}">
          <x14:id>{63C0225B-7F31-4AF9-A5FE-91C714207D95}</x14:id>
        </ext>
      </extLst>
    </cfRule>
  </conditionalFormatting>
  <conditionalFormatting sqref="H51:M52">
    <cfRule type="containsBlanks" dxfId="157" priority="1" stopIfTrue="1">
      <formula>LEN(TRIM(H51))=0</formula>
    </cfRule>
    <cfRule type="cellIs" dxfId="156" priority="2" stopIfTrue="1" operator="notBetween">
      <formula>1</formula>
      <formula>4</formula>
    </cfRule>
  </conditionalFormatting>
  <conditionalFormatting sqref="H52:M52">
    <cfRule type="dataBar" priority="4">
      <dataBar>
        <cfvo type="min"/>
        <cfvo type="num" val="4"/>
        <color rgb="FFFFC000"/>
      </dataBar>
      <extLst>
        <ext xmlns:x14="http://schemas.microsoft.com/office/spreadsheetml/2009/9/main" uri="{B025F937-C7B1-47D3-B67F-A62EFF666E3E}">
          <x14:id>{1C982241-DEE5-4196-9313-0C58251BC6E8}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9972AFF-A933-4B21-9BD7-F2C90950DDF5}">
            <x14:dataBar minLength="0" maxLength="100" gradient="0">
              <x14:cfvo type="autoMin"/>
              <x14:cfvo type="num">
                <xm:f>4</xm:f>
              </x14:cfvo>
              <x14:negativeFillColor rgb="FFFF0000"/>
              <x14:axisColor rgb="FF000000"/>
            </x14:dataBar>
          </x14:cfRule>
          <xm:sqref>H46:M46</xm:sqref>
        </x14:conditionalFormatting>
        <x14:conditionalFormatting xmlns:xm="http://schemas.microsoft.com/office/excel/2006/main">
          <x14:cfRule type="dataBar" id="{28FE618F-D455-488B-A4CF-AF9DEFD30444}">
            <x14:dataBar minLength="0" maxLength="100" gradient="0">
              <x14:cfvo type="autoMin"/>
              <x14:cfvo type="num">
                <xm:f>4</xm:f>
              </x14:cfvo>
              <x14:negativeFillColor rgb="FFFF0000"/>
              <x14:axisColor rgb="FF000000"/>
            </x14:dataBar>
          </x14:cfRule>
          <xm:sqref>H47:M47</xm:sqref>
        </x14:conditionalFormatting>
        <x14:conditionalFormatting xmlns:xm="http://schemas.microsoft.com/office/excel/2006/main">
          <x14:cfRule type="dataBar" id="{503F7A6E-53BA-436A-81F4-38AC3D9822AC}">
            <x14:dataBar minLength="0" maxLength="100" gradient="0">
              <x14:cfvo type="autoMin"/>
              <x14:cfvo type="num">
                <xm:f>4</xm:f>
              </x14:cfvo>
              <x14:negativeFillColor rgb="FFFF0000"/>
              <x14:axisColor rgb="FF000000"/>
            </x14:dataBar>
          </x14:cfRule>
          <xm:sqref>H48:M48</xm:sqref>
        </x14:conditionalFormatting>
        <x14:conditionalFormatting xmlns:xm="http://schemas.microsoft.com/office/excel/2006/main">
          <x14:cfRule type="dataBar" id="{63C0225B-7F31-4AF9-A5FE-91C714207D95}">
            <x14:dataBar minLength="0" maxLength="100" gradient="0">
              <x14:cfvo type="autoMin"/>
              <x14:cfvo type="num">
                <xm:f>4</xm:f>
              </x14:cfvo>
              <x14:negativeFillColor rgb="FFFF0000"/>
              <x14:axisColor rgb="FF000000"/>
            </x14:dataBar>
          </x14:cfRule>
          <xm:sqref>H51:M51</xm:sqref>
        </x14:conditionalFormatting>
        <x14:conditionalFormatting xmlns:xm="http://schemas.microsoft.com/office/excel/2006/main">
          <x14:cfRule type="dataBar" id="{1C982241-DEE5-4196-9313-0C58251BC6E8}">
            <x14:dataBar minLength="0" maxLength="100" gradient="0">
              <x14:cfvo type="autoMin"/>
              <x14:cfvo type="num">
                <xm:f>4</xm:f>
              </x14:cfvo>
              <x14:negativeFillColor rgb="FFFF0000"/>
              <x14:axisColor rgb="FF000000"/>
            </x14:dataBar>
          </x14:cfRule>
          <xm:sqref>H52:M52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90D9-7833-4417-8888-F65EE0C87F40}">
  <sheetPr>
    <tabColor theme="8"/>
  </sheetPr>
  <dimension ref="A1:AGF90"/>
  <sheetViews>
    <sheetView topLeftCell="B1" workbookViewId="0">
      <selection activeCell="M13" sqref="M13"/>
    </sheetView>
  </sheetViews>
  <sheetFormatPr defaultRowHeight="14.4"/>
  <cols>
    <col min="1" max="1" width="42.109375" bestFit="1" customWidth="1"/>
    <col min="2" max="2" width="11.5546875" customWidth="1"/>
    <col min="3" max="3" width="16.33203125" bestFit="1" customWidth="1"/>
    <col min="4" max="4" width="19.44140625" bestFit="1" customWidth="1"/>
    <col min="5" max="5" width="20.44140625" bestFit="1" customWidth="1"/>
    <col min="7" max="7" width="33.88671875" bestFit="1" customWidth="1"/>
    <col min="8" max="8" width="34.33203125" bestFit="1" customWidth="1"/>
    <col min="13" max="13" width="35.6640625" customWidth="1"/>
  </cols>
  <sheetData>
    <row r="1" spans="1:19" ht="15" thickBot="1"/>
    <row r="2" spans="1:19">
      <c r="B2" t="s">
        <v>2308</v>
      </c>
      <c r="C2" t="s">
        <v>2309</v>
      </c>
      <c r="D2" t="s">
        <v>2314</v>
      </c>
      <c r="G2" s="1016" t="s">
        <v>129</v>
      </c>
      <c r="H2" s="1017" t="s">
        <v>130</v>
      </c>
      <c r="I2" s="1018" t="s">
        <v>131</v>
      </c>
      <c r="J2" s="1018" t="s">
        <v>102</v>
      </c>
      <c r="K2" s="1019" t="s">
        <v>132</v>
      </c>
      <c r="L2" s="1018" t="s">
        <v>133</v>
      </c>
      <c r="M2" s="1020" t="s">
        <v>104</v>
      </c>
      <c r="N2" s="111" t="s">
        <v>134</v>
      </c>
      <c r="O2" s="112" t="s">
        <v>135</v>
      </c>
      <c r="P2" s="112" t="s">
        <v>65</v>
      </c>
      <c r="Q2" s="112" t="s">
        <v>67</v>
      </c>
      <c r="R2" s="112" t="s">
        <v>73</v>
      </c>
      <c r="S2" s="113" t="s">
        <v>79</v>
      </c>
    </row>
    <row r="3" spans="1:19">
      <c r="A3" t="s">
        <v>2305</v>
      </c>
      <c r="B3" s="999">
        <v>0.72</v>
      </c>
      <c r="C3" t="s">
        <v>2304</v>
      </c>
      <c r="D3" s="466">
        <f>B3</f>
        <v>0.72</v>
      </c>
      <c r="G3" s="7" t="s">
        <v>232</v>
      </c>
      <c r="H3" s="7" t="s">
        <v>366</v>
      </c>
      <c r="I3" s="7" t="s">
        <v>139</v>
      </c>
      <c r="J3" s="7" t="s">
        <v>139</v>
      </c>
      <c r="K3" s="246">
        <v>0.03</v>
      </c>
      <c r="L3" s="1021">
        <v>2</v>
      </c>
      <c r="M3" s="7" t="s">
        <v>2335</v>
      </c>
      <c r="N3" s="7">
        <v>2</v>
      </c>
      <c r="O3" s="7">
        <v>2</v>
      </c>
      <c r="P3" s="7">
        <v>2</v>
      </c>
      <c r="Q3" s="7">
        <v>1</v>
      </c>
      <c r="R3" s="7">
        <v>1</v>
      </c>
      <c r="S3" s="7">
        <v>2</v>
      </c>
    </row>
    <row r="4" spans="1:19">
      <c r="A4" t="s">
        <v>2306</v>
      </c>
      <c r="B4" s="999">
        <v>0.88</v>
      </c>
      <c r="C4" t="s">
        <v>2304</v>
      </c>
      <c r="D4" s="466">
        <f>B4-B3</f>
        <v>0.16000000000000003</v>
      </c>
      <c r="G4" s="7" t="s">
        <v>232</v>
      </c>
      <c r="H4" s="7" t="s">
        <v>188</v>
      </c>
      <c r="I4" s="7" t="s">
        <v>139</v>
      </c>
      <c r="J4" s="7" t="s">
        <v>139</v>
      </c>
      <c r="K4" s="246">
        <v>0.01</v>
      </c>
      <c r="L4" s="1021">
        <v>2</v>
      </c>
      <c r="M4" s="7" t="s">
        <v>411</v>
      </c>
      <c r="N4" s="7">
        <v>3</v>
      </c>
      <c r="O4" s="7">
        <v>3</v>
      </c>
      <c r="P4" s="7">
        <v>4</v>
      </c>
      <c r="Q4" s="7">
        <v>3</v>
      </c>
      <c r="R4" s="7">
        <v>3</v>
      </c>
      <c r="S4" s="7">
        <v>1</v>
      </c>
    </row>
    <row r="5" spans="1:19">
      <c r="A5" t="s">
        <v>2307</v>
      </c>
      <c r="B5" s="999">
        <v>0.94</v>
      </c>
      <c r="C5" t="s">
        <v>2304</v>
      </c>
      <c r="D5" s="466">
        <f t="shared" ref="D5" si="0">B5-B4</f>
        <v>5.9999999999999942E-2</v>
      </c>
      <c r="G5" s="7" t="s">
        <v>232</v>
      </c>
      <c r="H5" s="7" t="s">
        <v>188</v>
      </c>
      <c r="I5" s="7" t="s">
        <v>139</v>
      </c>
      <c r="J5" s="7" t="s">
        <v>139</v>
      </c>
      <c r="K5" s="246">
        <v>0.05</v>
      </c>
      <c r="L5" s="1021">
        <v>2</v>
      </c>
      <c r="M5" s="7" t="s">
        <v>411</v>
      </c>
      <c r="N5" s="7">
        <v>3</v>
      </c>
      <c r="O5" s="7">
        <v>3</v>
      </c>
      <c r="P5" s="7">
        <v>4</v>
      </c>
      <c r="Q5" s="7">
        <v>3</v>
      </c>
      <c r="R5" s="7">
        <v>3</v>
      </c>
      <c r="S5" s="7">
        <v>1</v>
      </c>
    </row>
    <row r="6" spans="1:19">
      <c r="A6" t="s">
        <v>2307</v>
      </c>
      <c r="B6" s="999">
        <v>0.998</v>
      </c>
      <c r="C6" t="s">
        <v>2310</v>
      </c>
      <c r="D6" s="466"/>
      <c r="G6" t="s">
        <v>232</v>
      </c>
      <c r="H6" t="s">
        <v>258</v>
      </c>
      <c r="I6" t="s">
        <v>180</v>
      </c>
      <c r="J6" t="s">
        <v>139</v>
      </c>
      <c r="K6" s="218">
        <v>2E-3</v>
      </c>
      <c r="L6">
        <v>2</v>
      </c>
      <c r="M6" s="2" t="s">
        <v>2333</v>
      </c>
      <c r="N6">
        <v>1</v>
      </c>
      <c r="O6">
        <v>2</v>
      </c>
      <c r="P6">
        <v>2</v>
      </c>
      <c r="Q6">
        <v>3</v>
      </c>
      <c r="R6">
        <v>2</v>
      </c>
      <c r="S6">
        <v>1</v>
      </c>
    </row>
    <row r="7" spans="1:19">
      <c r="G7" t="s">
        <v>232</v>
      </c>
      <c r="H7" t="s">
        <v>258</v>
      </c>
      <c r="I7" t="s">
        <v>182</v>
      </c>
      <c r="J7" t="s">
        <v>139</v>
      </c>
      <c r="K7" s="218">
        <v>2E-3</v>
      </c>
      <c r="L7">
        <v>2</v>
      </c>
      <c r="M7" s="2" t="s">
        <v>2333</v>
      </c>
      <c r="N7">
        <v>1</v>
      </c>
      <c r="O7">
        <v>2</v>
      </c>
      <c r="P7">
        <v>2</v>
      </c>
      <c r="Q7">
        <v>3</v>
      </c>
      <c r="R7">
        <v>2</v>
      </c>
      <c r="S7">
        <v>1</v>
      </c>
    </row>
    <row r="8" spans="1:19">
      <c r="A8" t="s">
        <v>2311</v>
      </c>
      <c r="B8" s="466">
        <f>D3</f>
        <v>0.72</v>
      </c>
      <c r="C8" s="466"/>
      <c r="D8" s="218"/>
      <c r="G8" t="s">
        <v>232</v>
      </c>
      <c r="H8" s="7" t="s">
        <v>215</v>
      </c>
      <c r="I8" t="s">
        <v>139</v>
      </c>
      <c r="J8" t="s">
        <v>139</v>
      </c>
      <c r="K8" s="1004" t="s">
        <v>150</v>
      </c>
      <c r="L8">
        <v>1</v>
      </c>
    </row>
    <row r="9" spans="1:19">
      <c r="A9" t="s">
        <v>2312</v>
      </c>
      <c r="B9" s="466">
        <f>D4/(1-D3)</f>
        <v>0.57142857142857151</v>
      </c>
      <c r="C9" s="218"/>
      <c r="D9" s="218"/>
      <c r="G9" s="996" t="s">
        <v>362</v>
      </c>
      <c r="H9" s="1024" t="s">
        <v>363</v>
      </c>
      <c r="I9" s="1024" t="s">
        <v>139</v>
      </c>
      <c r="J9" s="1024" t="s">
        <v>139</v>
      </c>
      <c r="K9" s="1028">
        <v>0.03</v>
      </c>
      <c r="L9" s="1029">
        <v>2</v>
      </c>
      <c r="M9" s="1024" t="s">
        <v>364</v>
      </c>
      <c r="N9" s="1024">
        <v>2</v>
      </c>
      <c r="O9" s="1024">
        <v>2</v>
      </c>
      <c r="P9" s="1024">
        <v>2</v>
      </c>
      <c r="Q9" s="1024">
        <v>1</v>
      </c>
      <c r="R9" s="1024">
        <v>1</v>
      </c>
      <c r="S9" s="1024">
        <v>2</v>
      </c>
    </row>
    <row r="10" spans="1:19">
      <c r="A10" t="s">
        <v>2313</v>
      </c>
      <c r="B10" s="466">
        <f>D5/(1-B9)</f>
        <v>0.1399999999999999</v>
      </c>
      <c r="C10" s="1004"/>
      <c r="G10" s="996" t="s">
        <v>362</v>
      </c>
      <c r="H10" s="996" t="s">
        <v>265</v>
      </c>
      <c r="I10" s="996" t="s">
        <v>180</v>
      </c>
      <c r="J10" s="996" t="s">
        <v>139</v>
      </c>
      <c r="K10" s="1022">
        <v>2E-3</v>
      </c>
      <c r="L10" s="996">
        <v>2</v>
      </c>
      <c r="M10" s="1023" t="s">
        <v>2333</v>
      </c>
      <c r="N10" s="996">
        <v>1</v>
      </c>
      <c r="O10" s="996">
        <v>2</v>
      </c>
      <c r="P10" s="996">
        <v>2</v>
      </c>
      <c r="Q10" s="996">
        <v>3</v>
      </c>
      <c r="R10" s="996">
        <v>2</v>
      </c>
      <c r="S10" s="996">
        <v>1</v>
      </c>
    </row>
    <row r="11" spans="1:19">
      <c r="G11" s="996" t="s">
        <v>362</v>
      </c>
      <c r="H11" s="996" t="s">
        <v>265</v>
      </c>
      <c r="I11" s="996" t="s">
        <v>182</v>
      </c>
      <c r="J11" s="996" t="s">
        <v>139</v>
      </c>
      <c r="K11" s="1022">
        <v>2E-3</v>
      </c>
      <c r="L11" s="996">
        <v>2</v>
      </c>
      <c r="M11" s="1023" t="s">
        <v>2333</v>
      </c>
      <c r="N11" s="996">
        <v>1</v>
      </c>
      <c r="O11" s="996">
        <v>2</v>
      </c>
      <c r="P11" s="996">
        <v>2</v>
      </c>
      <c r="Q11" s="996">
        <v>3</v>
      </c>
      <c r="R11" s="996">
        <v>2</v>
      </c>
      <c r="S11" s="996">
        <v>1</v>
      </c>
    </row>
    <row r="12" spans="1:19">
      <c r="A12" t="s">
        <v>2315</v>
      </c>
      <c r="B12" s="466">
        <f>B6/B5</f>
        <v>1.0617021276595746</v>
      </c>
      <c r="C12" s="1000"/>
      <c r="G12" s="996" t="s">
        <v>362</v>
      </c>
      <c r="H12" s="1024" t="s">
        <v>209</v>
      </c>
      <c r="I12" s="996" t="s">
        <v>139</v>
      </c>
      <c r="J12" s="996" t="s">
        <v>139</v>
      </c>
      <c r="K12" s="1025" t="s">
        <v>150</v>
      </c>
      <c r="L12" s="996">
        <v>1</v>
      </c>
      <c r="M12" s="996"/>
      <c r="N12" s="996"/>
      <c r="O12" s="996"/>
      <c r="P12" s="996"/>
      <c r="Q12" s="996"/>
      <c r="R12" s="996"/>
      <c r="S12" s="996"/>
    </row>
    <row r="13" spans="1:19">
      <c r="G13" s="7" t="s">
        <v>215</v>
      </c>
      <c r="H13" s="7" t="s">
        <v>216</v>
      </c>
      <c r="I13" t="s">
        <v>180</v>
      </c>
      <c r="J13" t="s">
        <v>139</v>
      </c>
      <c r="K13" s="1006">
        <v>0.08</v>
      </c>
      <c r="L13">
        <v>2</v>
      </c>
      <c r="M13" t="s">
        <v>211</v>
      </c>
      <c r="N13">
        <v>1</v>
      </c>
      <c r="O13">
        <v>2</v>
      </c>
      <c r="P13">
        <v>3</v>
      </c>
      <c r="Q13">
        <v>2</v>
      </c>
      <c r="R13">
        <v>3</v>
      </c>
      <c r="S13">
        <v>1</v>
      </c>
    </row>
    <row r="14" spans="1:19">
      <c r="A14" t="s">
        <v>2327</v>
      </c>
      <c r="B14" s="1007">
        <f>0.0322</f>
        <v>3.2199999999999999E-2</v>
      </c>
      <c r="C14" t="s">
        <v>182</v>
      </c>
      <c r="D14" s="466">
        <f>1-K27</f>
        <v>0.42857142857142849</v>
      </c>
      <c r="E14" s="1015">
        <f>D14*B14</f>
        <v>1.3799999999999998E-2</v>
      </c>
      <c r="G14" s="7" t="s">
        <v>215</v>
      </c>
      <c r="H14" s="7" t="s">
        <v>216</v>
      </c>
      <c r="I14" t="s">
        <v>180</v>
      </c>
      <c r="J14" t="s">
        <v>139</v>
      </c>
      <c r="K14" s="1006">
        <v>8.9999999999999993E-3</v>
      </c>
      <c r="L14">
        <v>2</v>
      </c>
      <c r="M14" s="2" t="s">
        <v>2333</v>
      </c>
      <c r="N14">
        <v>1</v>
      </c>
      <c r="O14">
        <v>2</v>
      </c>
      <c r="P14">
        <v>2</v>
      </c>
      <c r="Q14">
        <v>3</v>
      </c>
      <c r="R14">
        <v>2</v>
      </c>
      <c r="S14">
        <v>1</v>
      </c>
    </row>
    <row r="15" spans="1:19">
      <c r="A15" t="s">
        <v>2327</v>
      </c>
      <c r="B15" s="1007">
        <f>B14</f>
        <v>3.2199999999999999E-2</v>
      </c>
      <c r="C15" t="s">
        <v>180</v>
      </c>
      <c r="G15" s="7" t="s">
        <v>215</v>
      </c>
      <c r="H15" s="7" t="s">
        <v>216</v>
      </c>
      <c r="I15" t="s">
        <v>182</v>
      </c>
      <c r="J15" t="s">
        <v>139</v>
      </c>
      <c r="K15" s="999">
        <v>3.2000000000000001E-2</v>
      </c>
      <c r="L15">
        <v>2</v>
      </c>
      <c r="M15" t="s">
        <v>213</v>
      </c>
      <c r="N15">
        <v>2</v>
      </c>
      <c r="O15">
        <v>2</v>
      </c>
      <c r="P15">
        <v>3</v>
      </c>
      <c r="Q15">
        <v>3</v>
      </c>
      <c r="R15">
        <v>3</v>
      </c>
      <c r="S15">
        <v>3</v>
      </c>
    </row>
    <row r="16" spans="1:19">
      <c r="B16" s="1007"/>
      <c r="G16" s="7" t="s">
        <v>215</v>
      </c>
      <c r="H16" s="7" t="s">
        <v>216</v>
      </c>
      <c r="I16" t="s">
        <v>182</v>
      </c>
      <c r="J16" t="s">
        <v>139</v>
      </c>
      <c r="K16" s="999">
        <v>2.9826370000000001E-2</v>
      </c>
      <c r="L16">
        <v>2</v>
      </c>
      <c r="M16" t="s">
        <v>214</v>
      </c>
      <c r="N16">
        <v>2</v>
      </c>
      <c r="O16">
        <v>2</v>
      </c>
      <c r="P16">
        <v>4</v>
      </c>
      <c r="Q16">
        <v>3</v>
      </c>
      <c r="R16">
        <v>3</v>
      </c>
      <c r="S16">
        <v>1</v>
      </c>
    </row>
    <row r="17" spans="2:19">
      <c r="B17" s="1007"/>
      <c r="G17" s="7" t="s">
        <v>215</v>
      </c>
      <c r="H17" s="7" t="s">
        <v>385</v>
      </c>
      <c r="I17" t="s">
        <v>139</v>
      </c>
      <c r="J17" t="s">
        <v>139</v>
      </c>
      <c r="K17" t="s">
        <v>150</v>
      </c>
      <c r="L17">
        <v>1</v>
      </c>
    </row>
    <row r="18" spans="2:19">
      <c r="B18" s="1007"/>
      <c r="G18" s="1024" t="s">
        <v>209</v>
      </c>
      <c r="H18" s="1024" t="s">
        <v>210</v>
      </c>
      <c r="I18" s="996" t="s">
        <v>180</v>
      </c>
      <c r="J18" s="996" t="s">
        <v>139</v>
      </c>
      <c r="K18" s="1026">
        <v>0.08</v>
      </c>
      <c r="L18" s="996">
        <v>2</v>
      </c>
      <c r="M18" s="996" t="s">
        <v>211</v>
      </c>
      <c r="N18" s="996">
        <v>1</v>
      </c>
      <c r="O18" s="996">
        <v>2</v>
      </c>
      <c r="P18" s="996">
        <v>3</v>
      </c>
      <c r="Q18" s="996">
        <v>2</v>
      </c>
      <c r="R18" s="996">
        <v>3</v>
      </c>
      <c r="S18" s="996">
        <v>1</v>
      </c>
    </row>
    <row r="19" spans="2:19">
      <c r="B19" s="1007"/>
      <c r="G19" s="1024" t="s">
        <v>209</v>
      </c>
      <c r="H19" s="1024" t="s">
        <v>210</v>
      </c>
      <c r="I19" s="996" t="s">
        <v>182</v>
      </c>
      <c r="J19" s="996" t="s">
        <v>139</v>
      </c>
      <c r="K19" s="1027">
        <v>3.2000000000000001E-2</v>
      </c>
      <c r="L19" s="996">
        <v>2</v>
      </c>
      <c r="M19" s="996" t="s">
        <v>213</v>
      </c>
      <c r="N19" s="996">
        <v>2</v>
      </c>
      <c r="O19" s="996">
        <v>2</v>
      </c>
      <c r="P19" s="996">
        <v>3</v>
      </c>
      <c r="Q19" s="996">
        <v>3</v>
      </c>
      <c r="R19" s="996">
        <v>3</v>
      </c>
      <c r="S19" s="996">
        <v>3</v>
      </c>
    </row>
    <row r="20" spans="2:19">
      <c r="G20" s="1024" t="s">
        <v>209</v>
      </c>
      <c r="H20" s="1024" t="s">
        <v>210</v>
      </c>
      <c r="I20" s="996" t="s">
        <v>182</v>
      </c>
      <c r="J20" s="996" t="s">
        <v>139</v>
      </c>
      <c r="K20" s="1027">
        <v>2.9826370000000001E-2</v>
      </c>
      <c r="L20" s="996">
        <v>2</v>
      </c>
      <c r="M20" s="996" t="s">
        <v>214</v>
      </c>
      <c r="N20" s="996">
        <v>2</v>
      </c>
      <c r="O20" s="996">
        <v>2</v>
      </c>
      <c r="P20" s="996">
        <v>4</v>
      </c>
      <c r="Q20" s="996">
        <v>3</v>
      </c>
      <c r="R20" s="996">
        <v>3</v>
      </c>
      <c r="S20" s="996">
        <v>1</v>
      </c>
    </row>
    <row r="21" spans="2:19">
      <c r="G21" s="1024" t="s">
        <v>209</v>
      </c>
      <c r="H21" s="1024" t="s">
        <v>210</v>
      </c>
      <c r="I21" s="996" t="s">
        <v>180</v>
      </c>
      <c r="J21" s="996" t="s">
        <v>139</v>
      </c>
      <c r="K21" s="1026">
        <v>8.9999999999999993E-3</v>
      </c>
      <c r="L21" s="996">
        <v>2</v>
      </c>
      <c r="M21" s="1023" t="s">
        <v>2333</v>
      </c>
      <c r="N21" s="996">
        <v>1</v>
      </c>
      <c r="O21" s="996">
        <v>2</v>
      </c>
      <c r="P21" s="996">
        <v>2</v>
      </c>
      <c r="Q21" s="996">
        <v>3</v>
      </c>
      <c r="R21" s="996">
        <v>2</v>
      </c>
      <c r="S21" s="996">
        <v>1</v>
      </c>
    </row>
    <row r="22" spans="2:19">
      <c r="G22" s="1024" t="s">
        <v>209</v>
      </c>
      <c r="H22" s="1024" t="s">
        <v>384</v>
      </c>
      <c r="I22" s="996" t="s">
        <v>139</v>
      </c>
      <c r="J22" s="996" t="s">
        <v>139</v>
      </c>
      <c r="K22" s="996" t="s">
        <v>150</v>
      </c>
      <c r="L22" s="996">
        <v>1</v>
      </c>
      <c r="M22" s="996"/>
      <c r="N22" s="996"/>
      <c r="O22" s="996"/>
      <c r="P22" s="996"/>
      <c r="Q22" s="996"/>
      <c r="R22" s="996"/>
      <c r="S22" s="996"/>
    </row>
    <row r="23" spans="2:19">
      <c r="G23" t="s">
        <v>385</v>
      </c>
      <c r="H23" t="s">
        <v>401</v>
      </c>
      <c r="I23" t="s">
        <v>139</v>
      </c>
      <c r="J23" t="s">
        <v>139</v>
      </c>
      <c r="K23" s="999" t="s">
        <v>150</v>
      </c>
      <c r="L23">
        <v>1</v>
      </c>
    </row>
    <row r="24" spans="2:19">
      <c r="G24" t="s">
        <v>385</v>
      </c>
      <c r="H24" t="s">
        <v>286</v>
      </c>
      <c r="I24" t="s">
        <v>182</v>
      </c>
      <c r="J24" t="s">
        <v>139</v>
      </c>
      <c r="K24" s="999">
        <f>B8</f>
        <v>0.72</v>
      </c>
      <c r="L24">
        <v>2</v>
      </c>
      <c r="M24" t="s">
        <v>2316</v>
      </c>
      <c r="N24">
        <v>3</v>
      </c>
      <c r="O24">
        <v>3</v>
      </c>
      <c r="P24">
        <v>2</v>
      </c>
      <c r="Q24">
        <v>3</v>
      </c>
      <c r="R24">
        <v>2</v>
      </c>
      <c r="S24">
        <v>1</v>
      </c>
    </row>
    <row r="25" spans="2:19">
      <c r="G25" t="s">
        <v>385</v>
      </c>
      <c r="H25" t="s">
        <v>286</v>
      </c>
      <c r="I25" t="s">
        <v>180</v>
      </c>
      <c r="J25" t="s">
        <v>139</v>
      </c>
      <c r="K25" s="999">
        <f>K24*B12</f>
        <v>0.76442553191489371</v>
      </c>
      <c r="L25">
        <v>2</v>
      </c>
      <c r="M25" t="s">
        <v>2310</v>
      </c>
      <c r="N25">
        <v>1</v>
      </c>
      <c r="O25">
        <v>2</v>
      </c>
      <c r="P25">
        <v>3</v>
      </c>
      <c r="Q25">
        <v>3</v>
      </c>
      <c r="R25">
        <v>2</v>
      </c>
      <c r="S25">
        <v>1</v>
      </c>
    </row>
    <row r="26" spans="2:19">
      <c r="G26" t="s">
        <v>401</v>
      </c>
      <c r="H26" t="s">
        <v>288</v>
      </c>
      <c r="I26" t="s">
        <v>139</v>
      </c>
      <c r="J26" t="s">
        <v>139</v>
      </c>
      <c r="K26" s="999" t="s">
        <v>150</v>
      </c>
      <c r="L26">
        <v>1</v>
      </c>
    </row>
    <row r="27" spans="2:19">
      <c r="G27" t="s">
        <v>401</v>
      </c>
      <c r="H27" t="s">
        <v>286</v>
      </c>
      <c r="I27" t="s">
        <v>182</v>
      </c>
      <c r="J27" t="s">
        <v>139</v>
      </c>
      <c r="K27" s="999">
        <f>B9</f>
        <v>0.57142857142857151</v>
      </c>
      <c r="L27">
        <v>2</v>
      </c>
      <c r="M27" t="s">
        <v>2316</v>
      </c>
      <c r="N27">
        <v>3</v>
      </c>
      <c r="O27">
        <v>3</v>
      </c>
      <c r="P27">
        <v>2</v>
      </c>
      <c r="Q27">
        <v>3</v>
      </c>
      <c r="R27">
        <v>2</v>
      </c>
      <c r="S27">
        <v>1</v>
      </c>
    </row>
    <row r="28" spans="2:19">
      <c r="G28" t="s">
        <v>401</v>
      </c>
      <c r="H28" t="s">
        <v>286</v>
      </c>
      <c r="I28" t="s">
        <v>180</v>
      </c>
      <c r="J28" t="s">
        <v>139</v>
      </c>
      <c r="K28" s="999">
        <f>K27*B12</f>
        <v>0.60668693009118557</v>
      </c>
      <c r="L28">
        <v>2</v>
      </c>
      <c r="M28" t="s">
        <v>2310</v>
      </c>
      <c r="N28">
        <v>1</v>
      </c>
      <c r="O28">
        <v>2</v>
      </c>
      <c r="P28">
        <v>3</v>
      </c>
      <c r="Q28">
        <v>3</v>
      </c>
      <c r="R28">
        <v>2</v>
      </c>
      <c r="S28">
        <v>1</v>
      </c>
    </row>
    <row r="29" spans="2:19">
      <c r="G29" t="s">
        <v>401</v>
      </c>
      <c r="H29" t="s">
        <v>258</v>
      </c>
      <c r="I29" t="s">
        <v>182</v>
      </c>
      <c r="J29" t="s">
        <v>139</v>
      </c>
      <c r="K29" s="999">
        <f>((1-K27)*B14)</f>
        <v>1.3799999999999998E-2</v>
      </c>
      <c r="L29">
        <v>2</v>
      </c>
      <c r="M29" t="s">
        <v>2334</v>
      </c>
      <c r="N29">
        <v>2</v>
      </c>
      <c r="O29">
        <v>2</v>
      </c>
      <c r="P29">
        <v>1</v>
      </c>
      <c r="Q29">
        <v>1</v>
      </c>
      <c r="R29">
        <v>1</v>
      </c>
      <c r="S29">
        <v>2</v>
      </c>
    </row>
    <row r="30" spans="2:19">
      <c r="G30" t="s">
        <v>401</v>
      </c>
      <c r="H30" t="s">
        <v>258</v>
      </c>
      <c r="I30" t="s">
        <v>180</v>
      </c>
      <c r="J30" t="s">
        <v>139</v>
      </c>
      <c r="K30" s="999">
        <f>(1-K28)*B15</f>
        <v>1.2664680851063825E-2</v>
      </c>
      <c r="L30">
        <v>2</v>
      </c>
      <c r="M30" t="s">
        <v>2334</v>
      </c>
      <c r="N30">
        <v>2</v>
      </c>
      <c r="O30">
        <v>2</v>
      </c>
      <c r="P30">
        <v>1</v>
      </c>
      <c r="Q30">
        <v>1</v>
      </c>
      <c r="R30">
        <v>1</v>
      </c>
      <c r="S30">
        <v>2</v>
      </c>
    </row>
    <row r="31" spans="2:19">
      <c r="G31" t="s">
        <v>288</v>
      </c>
      <c r="H31" t="s">
        <v>258</v>
      </c>
      <c r="I31" t="s">
        <v>139</v>
      </c>
      <c r="J31" t="s">
        <v>139</v>
      </c>
      <c r="K31" s="999" t="s">
        <v>150</v>
      </c>
      <c r="L31">
        <v>1</v>
      </c>
    </row>
    <row r="32" spans="2:19">
      <c r="G32" t="s">
        <v>288</v>
      </c>
      <c r="H32" t="s">
        <v>286</v>
      </c>
      <c r="I32" t="s">
        <v>182</v>
      </c>
      <c r="J32" t="s">
        <v>139</v>
      </c>
      <c r="K32" s="999">
        <f>B10</f>
        <v>0.1399999999999999</v>
      </c>
      <c r="L32">
        <v>2</v>
      </c>
      <c r="M32" t="s">
        <v>2316</v>
      </c>
      <c r="N32">
        <v>3</v>
      </c>
      <c r="O32">
        <v>3</v>
      </c>
      <c r="P32">
        <v>2</v>
      </c>
      <c r="Q32">
        <v>3</v>
      </c>
      <c r="R32">
        <v>2</v>
      </c>
      <c r="S32">
        <v>1</v>
      </c>
    </row>
    <row r="33" spans="1:19">
      <c r="G33" t="s">
        <v>288</v>
      </c>
      <c r="H33" t="s">
        <v>286</v>
      </c>
      <c r="I33" t="s">
        <v>180</v>
      </c>
      <c r="J33" t="s">
        <v>139</v>
      </c>
      <c r="K33" s="999">
        <f>K32*B12</f>
        <v>0.14863829787234034</v>
      </c>
      <c r="L33">
        <v>2</v>
      </c>
      <c r="M33" t="s">
        <v>2310</v>
      </c>
      <c r="N33">
        <v>1</v>
      </c>
      <c r="O33">
        <v>2</v>
      </c>
      <c r="P33">
        <v>3</v>
      </c>
      <c r="Q33">
        <v>3</v>
      </c>
      <c r="R33">
        <v>2</v>
      </c>
      <c r="S33">
        <v>1</v>
      </c>
    </row>
    <row r="34" spans="1:19">
      <c r="G34" s="996" t="s">
        <v>384</v>
      </c>
      <c r="H34" s="996" t="s">
        <v>399</v>
      </c>
      <c r="I34" s="996" t="s">
        <v>139</v>
      </c>
      <c r="J34" s="996" t="s">
        <v>139</v>
      </c>
      <c r="K34" s="1027" t="s">
        <v>150</v>
      </c>
      <c r="L34" s="996">
        <v>1</v>
      </c>
      <c r="M34" s="996"/>
      <c r="N34" s="996"/>
      <c r="O34" s="996"/>
      <c r="P34" s="996"/>
      <c r="Q34" s="996"/>
      <c r="R34" s="996"/>
      <c r="S34" s="996"/>
    </row>
    <row r="35" spans="1:19">
      <c r="G35" s="996" t="s">
        <v>384</v>
      </c>
      <c r="H35" s="996" t="s">
        <v>284</v>
      </c>
      <c r="I35" s="996" t="s">
        <v>182</v>
      </c>
      <c r="J35" s="996" t="s">
        <v>139</v>
      </c>
      <c r="K35" s="1027">
        <v>0.72</v>
      </c>
      <c r="L35" s="996">
        <v>2</v>
      </c>
      <c r="M35" s="996" t="s">
        <v>2316</v>
      </c>
      <c r="N35" s="996">
        <v>3</v>
      </c>
      <c r="O35" s="996">
        <v>3</v>
      </c>
      <c r="P35" s="996">
        <v>2</v>
      </c>
      <c r="Q35" s="996">
        <v>3</v>
      </c>
      <c r="R35" s="996">
        <v>2</v>
      </c>
      <c r="S35" s="996">
        <v>1</v>
      </c>
    </row>
    <row r="36" spans="1:19">
      <c r="G36" s="996" t="s">
        <v>384</v>
      </c>
      <c r="H36" s="996" t="s">
        <v>284</v>
      </c>
      <c r="I36" s="996" t="s">
        <v>180</v>
      </c>
      <c r="J36" s="996" t="s">
        <v>139</v>
      </c>
      <c r="K36" s="1027">
        <v>0.76442553191489371</v>
      </c>
      <c r="L36" s="996">
        <v>2</v>
      </c>
      <c r="M36" s="996" t="s">
        <v>2310</v>
      </c>
      <c r="N36" s="996">
        <v>1</v>
      </c>
      <c r="O36" s="996">
        <v>2</v>
      </c>
      <c r="P36" s="996">
        <v>3</v>
      </c>
      <c r="Q36" s="996">
        <v>3</v>
      </c>
      <c r="R36" s="996">
        <v>2</v>
      </c>
      <c r="S36" s="996">
        <v>1</v>
      </c>
    </row>
    <row r="37" spans="1:19">
      <c r="G37" s="996" t="s">
        <v>399</v>
      </c>
      <c r="H37" s="996" t="s">
        <v>287</v>
      </c>
      <c r="I37" s="996" t="s">
        <v>139</v>
      </c>
      <c r="J37" s="996" t="s">
        <v>139</v>
      </c>
      <c r="K37" s="1027" t="s">
        <v>150</v>
      </c>
      <c r="L37" s="996">
        <v>1</v>
      </c>
      <c r="M37" s="996"/>
      <c r="N37" s="996"/>
      <c r="O37" s="996"/>
      <c r="P37" s="996"/>
      <c r="Q37" s="996"/>
      <c r="R37" s="996"/>
      <c r="S37" s="996"/>
    </row>
    <row r="38" spans="1:19">
      <c r="G38" s="996" t="s">
        <v>399</v>
      </c>
      <c r="H38" s="996" t="s">
        <v>284</v>
      </c>
      <c r="I38" s="996" t="s">
        <v>182</v>
      </c>
      <c r="J38" s="996" t="s">
        <v>139</v>
      </c>
      <c r="K38" s="1027">
        <v>0.57142857142857151</v>
      </c>
      <c r="L38" s="996">
        <v>2</v>
      </c>
      <c r="M38" s="996" t="s">
        <v>2316</v>
      </c>
      <c r="N38" s="996">
        <v>3</v>
      </c>
      <c r="O38" s="996">
        <v>3</v>
      </c>
      <c r="P38" s="996">
        <v>2</v>
      </c>
      <c r="Q38" s="996">
        <v>3</v>
      </c>
      <c r="R38" s="996">
        <v>2</v>
      </c>
      <c r="S38" s="996">
        <v>1</v>
      </c>
    </row>
    <row r="39" spans="1:19">
      <c r="G39" s="996" t="s">
        <v>399</v>
      </c>
      <c r="H39" s="996" t="s">
        <v>284</v>
      </c>
      <c r="I39" s="996" t="s">
        <v>180</v>
      </c>
      <c r="J39" s="996" t="s">
        <v>139</v>
      </c>
      <c r="K39" s="1027">
        <v>0.60668693009118557</v>
      </c>
      <c r="L39" s="996">
        <v>2</v>
      </c>
      <c r="M39" s="996" t="s">
        <v>2310</v>
      </c>
      <c r="N39" s="996">
        <v>1</v>
      </c>
      <c r="O39" s="996">
        <v>2</v>
      </c>
      <c r="P39" s="996">
        <v>3</v>
      </c>
      <c r="Q39" s="996">
        <v>3</v>
      </c>
      <c r="R39" s="996">
        <v>2</v>
      </c>
      <c r="S39" s="996">
        <v>1</v>
      </c>
    </row>
    <row r="40" spans="1:19">
      <c r="G40" s="996" t="s">
        <v>399</v>
      </c>
      <c r="H40" s="996" t="s">
        <v>265</v>
      </c>
      <c r="I40" s="996" t="s">
        <v>182</v>
      </c>
      <c r="J40" s="996" t="s">
        <v>139</v>
      </c>
      <c r="K40" s="1027">
        <v>1.3799999999999998E-2</v>
      </c>
      <c r="L40" s="996">
        <v>2</v>
      </c>
      <c r="M40" s="996" t="s">
        <v>2334</v>
      </c>
      <c r="N40" s="996">
        <v>2</v>
      </c>
      <c r="O40" s="996">
        <v>2</v>
      </c>
      <c r="P40" s="996">
        <v>1</v>
      </c>
      <c r="Q40" s="996">
        <v>1</v>
      </c>
      <c r="R40" s="996">
        <v>1</v>
      </c>
      <c r="S40" s="996">
        <v>2</v>
      </c>
    </row>
    <row r="41" spans="1:19">
      <c r="G41" s="996" t="s">
        <v>399</v>
      </c>
      <c r="H41" s="996" t="s">
        <v>265</v>
      </c>
      <c r="I41" s="996" t="s">
        <v>180</v>
      </c>
      <c r="J41" s="996" t="s">
        <v>139</v>
      </c>
      <c r="K41" s="1027">
        <v>1.2664680851063825E-2</v>
      </c>
      <c r="L41" s="996">
        <v>2</v>
      </c>
      <c r="M41" s="996" t="s">
        <v>2334</v>
      </c>
      <c r="N41" s="996">
        <v>2</v>
      </c>
      <c r="O41" s="996">
        <v>2</v>
      </c>
      <c r="P41" s="996">
        <v>1</v>
      </c>
      <c r="Q41" s="996">
        <v>1</v>
      </c>
      <c r="R41" s="996">
        <v>1</v>
      </c>
      <c r="S41" s="996">
        <v>2</v>
      </c>
    </row>
    <row r="42" spans="1:19">
      <c r="G42" s="996" t="s">
        <v>287</v>
      </c>
      <c r="H42" s="996" t="s">
        <v>265</v>
      </c>
      <c r="I42" s="996" t="s">
        <v>139</v>
      </c>
      <c r="J42" s="996" t="s">
        <v>139</v>
      </c>
      <c r="K42" s="1027" t="s">
        <v>150</v>
      </c>
      <c r="L42" s="996">
        <v>1</v>
      </c>
      <c r="M42" s="996"/>
      <c r="N42" s="996"/>
      <c r="O42" s="996"/>
      <c r="P42" s="996"/>
      <c r="Q42" s="996"/>
      <c r="R42" s="996"/>
      <c r="S42" s="996"/>
    </row>
    <row r="43" spans="1:19">
      <c r="G43" s="996" t="s">
        <v>287</v>
      </c>
      <c r="H43" s="996" t="s">
        <v>284</v>
      </c>
      <c r="I43" s="996" t="s">
        <v>182</v>
      </c>
      <c r="J43" s="996" t="s">
        <v>139</v>
      </c>
      <c r="K43" s="1027">
        <v>0.1399999999999999</v>
      </c>
      <c r="L43" s="996">
        <v>2</v>
      </c>
      <c r="M43" s="996" t="s">
        <v>2316</v>
      </c>
      <c r="N43" s="996">
        <v>3</v>
      </c>
      <c r="O43" s="996">
        <v>3</v>
      </c>
      <c r="P43" s="996">
        <v>2</v>
      </c>
      <c r="Q43" s="996">
        <v>3</v>
      </c>
      <c r="R43" s="996">
        <v>2</v>
      </c>
      <c r="S43" s="996">
        <v>1</v>
      </c>
    </row>
    <row r="44" spans="1:19">
      <c r="G44" s="996" t="s">
        <v>287</v>
      </c>
      <c r="H44" s="996" t="s">
        <v>284</v>
      </c>
      <c r="I44" s="996" t="s">
        <v>180</v>
      </c>
      <c r="J44" s="996" t="s">
        <v>139</v>
      </c>
      <c r="K44" s="1027">
        <v>0.14863829787234034</v>
      </c>
      <c r="L44" s="996">
        <v>2</v>
      </c>
      <c r="M44" s="996" t="s">
        <v>2310</v>
      </c>
      <c r="N44" s="996">
        <v>1</v>
      </c>
      <c r="O44" s="996">
        <v>2</v>
      </c>
      <c r="P44" s="996">
        <v>3</v>
      </c>
      <c r="Q44" s="996">
        <v>3</v>
      </c>
      <c r="R44" s="996">
        <v>2</v>
      </c>
      <c r="S44" s="996">
        <v>1</v>
      </c>
    </row>
    <row r="47" spans="1:19">
      <c r="G47" s="7"/>
      <c r="H47" s="7"/>
      <c r="K47" s="1004"/>
    </row>
    <row r="48" spans="1:19" s="1001" customFormat="1">
      <c r="A48" s="1001" t="s">
        <v>2317</v>
      </c>
    </row>
    <row r="49" spans="1:864" s="6" customFormat="1">
      <c r="A49" s="151" t="s">
        <v>288</v>
      </c>
      <c r="B49" s="34" t="s">
        <v>179</v>
      </c>
      <c r="C49" s="40" t="s">
        <v>139</v>
      </c>
      <c r="D49" s="34" t="s">
        <v>139</v>
      </c>
      <c r="E49" s="257">
        <v>0.83616504854368934</v>
      </c>
      <c r="F49" s="232">
        <v>2</v>
      </c>
      <c r="G49" s="40" t="s">
        <v>289</v>
      </c>
      <c r="H49" s="29">
        <v>2</v>
      </c>
      <c r="I49" s="9"/>
      <c r="J49" s="9">
        <v>2</v>
      </c>
      <c r="K49" s="9">
        <v>3</v>
      </c>
      <c r="L49" s="9">
        <v>3</v>
      </c>
      <c r="M49" s="9">
        <v>1</v>
      </c>
      <c r="N49" s="185">
        <f t="shared" ref="N49:N70" si="1">IF( OR( ISBLANK(H49),ISBLANK(J49), ISBLANK(K49), ISBLANK(L49), ISBLANK(M49) ), "", 1.5*SQRT(   EXP(2.21*(H49-1)) + EXP(2.21*(J49-1)) + EXP(2.21*(K49-1)) + EXP(2.21*(L49-1)) + EXP(2.21*M49)   )/100*2.45 )</f>
        <v>0.51126068492676302</v>
      </c>
      <c r="O49" s="159" t="str">
        <f t="shared" ref="O49:O70" si="2">IF( OR( ISBLANK(I49),ISBLANK(J49), ISBLANK(K49), ISBLANK(L49), ISBLANK(M49) ), "", 1.5*SQRT( EXP(2.21*(I49-1)) + EXP(2.21*(J49-1)) + EXP(2.21*(K49-1)) + EXP(2.21*(L49-1)) + EXP(2.21*M49)   )/100*2.45 )</f>
        <v/>
      </c>
      <c r="P49" s="63" t="s">
        <v>290</v>
      </c>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c r="ZZ49" s="16"/>
      <c r="AAA49" s="16"/>
      <c r="AAB49" s="16"/>
      <c r="AAC49" s="16"/>
      <c r="AAD49" s="16"/>
      <c r="AAE49" s="16"/>
      <c r="AAF49" s="16"/>
      <c r="AAG49" s="16"/>
      <c r="AAH49" s="16"/>
      <c r="AAI49" s="16"/>
      <c r="AAJ49" s="16"/>
      <c r="AAK49" s="16"/>
      <c r="AAL49" s="16"/>
      <c r="AAM49" s="16"/>
      <c r="AAN49" s="16"/>
      <c r="AAO49" s="16"/>
      <c r="AAP49" s="16"/>
      <c r="AAQ49" s="16"/>
      <c r="AAR49" s="16"/>
      <c r="AAS49" s="16"/>
      <c r="AAT49" s="16"/>
      <c r="AAU49" s="16"/>
      <c r="AAV49" s="16"/>
      <c r="AAW49" s="16"/>
      <c r="AAX49" s="16"/>
      <c r="AAY49" s="16"/>
      <c r="AAZ49" s="16"/>
      <c r="ABA49" s="16"/>
      <c r="ABB49" s="16"/>
      <c r="ABC49" s="16"/>
      <c r="ABD49" s="16"/>
      <c r="ABE49" s="16"/>
      <c r="ABF49" s="16"/>
      <c r="ABG49" s="16"/>
      <c r="ABH49" s="16"/>
      <c r="ABI49" s="16"/>
      <c r="ABJ49" s="16"/>
      <c r="ABK49" s="16"/>
      <c r="ABL49" s="16"/>
      <c r="ABM49" s="16"/>
      <c r="ABN49" s="16"/>
      <c r="ABO49" s="16"/>
      <c r="ABP49" s="16"/>
      <c r="ABQ49" s="16"/>
      <c r="ABR49" s="16"/>
      <c r="ABS49" s="16"/>
      <c r="ABT49" s="16"/>
      <c r="ABU49" s="16"/>
      <c r="ABV49" s="16"/>
      <c r="ABW49" s="16"/>
      <c r="ABX49" s="16"/>
      <c r="ABY49" s="16"/>
      <c r="ABZ49" s="16"/>
      <c r="ACA49" s="16"/>
      <c r="ACB49" s="16"/>
      <c r="ACC49" s="16"/>
      <c r="ACD49" s="16"/>
      <c r="ACE49" s="16"/>
      <c r="ACF49" s="16"/>
      <c r="ACG49" s="16"/>
      <c r="ACH49" s="16"/>
      <c r="ACI49" s="16"/>
      <c r="ACJ49" s="16"/>
      <c r="ACK49" s="16"/>
      <c r="ACL49" s="16"/>
      <c r="ACM49" s="16"/>
      <c r="ACN49" s="16"/>
      <c r="ACO49" s="16"/>
      <c r="ACP49" s="16"/>
      <c r="ACQ49" s="16"/>
      <c r="ACR49" s="16"/>
      <c r="ACS49" s="16"/>
      <c r="ACT49" s="16"/>
      <c r="ACU49" s="16"/>
      <c r="ACV49" s="16"/>
      <c r="ACW49" s="16"/>
      <c r="ACX49" s="16"/>
      <c r="ACY49" s="16"/>
      <c r="ACZ49" s="16"/>
      <c r="ADA49" s="16"/>
      <c r="ADB49" s="16"/>
      <c r="ADC49" s="16"/>
      <c r="ADD49" s="16"/>
      <c r="ADE49" s="16"/>
      <c r="ADF49" s="16"/>
      <c r="ADG49" s="16"/>
      <c r="ADH49" s="16"/>
      <c r="ADI49" s="16"/>
      <c r="ADJ49" s="16"/>
      <c r="ADK49" s="16"/>
      <c r="ADL49" s="16"/>
      <c r="ADM49" s="16"/>
      <c r="ADN49" s="16"/>
      <c r="ADO49" s="16"/>
      <c r="ADP49" s="16"/>
      <c r="ADQ49" s="16"/>
      <c r="ADR49" s="16"/>
      <c r="ADS49" s="16"/>
      <c r="ADT49" s="16"/>
      <c r="ADU49" s="16"/>
      <c r="ADV49" s="16"/>
      <c r="ADW49" s="16"/>
      <c r="ADX49" s="16"/>
      <c r="ADY49" s="16"/>
      <c r="ADZ49" s="16"/>
      <c r="AEA49" s="16"/>
      <c r="AEB49" s="16"/>
      <c r="AEC49" s="16"/>
      <c r="AED49" s="16"/>
      <c r="AEE49" s="16"/>
      <c r="AEF49" s="16"/>
      <c r="AEG49" s="16"/>
      <c r="AEH49" s="16"/>
      <c r="AEI49" s="16"/>
      <c r="AEJ49" s="16"/>
      <c r="AEK49" s="16"/>
      <c r="AEL49" s="16"/>
      <c r="AEM49" s="16"/>
      <c r="AEN49" s="16"/>
      <c r="AEO49" s="16"/>
      <c r="AEP49" s="16"/>
      <c r="AEQ49" s="16"/>
      <c r="AER49" s="16"/>
      <c r="AES49" s="16"/>
      <c r="AET49" s="16"/>
      <c r="AEU49" s="16"/>
      <c r="AEV49" s="16"/>
      <c r="AEW49" s="16"/>
      <c r="AEX49" s="16"/>
      <c r="AEY49" s="16"/>
      <c r="AEZ49" s="16"/>
      <c r="AFA49" s="16"/>
      <c r="AFB49" s="16"/>
      <c r="AFC49" s="16"/>
      <c r="AFD49" s="16"/>
      <c r="AFE49" s="16"/>
      <c r="AFF49" s="16"/>
      <c r="AFG49" s="16"/>
      <c r="AFH49" s="16"/>
      <c r="AFI49" s="16"/>
      <c r="AFJ49" s="16"/>
      <c r="AFK49" s="16"/>
      <c r="AFL49" s="16"/>
      <c r="AFM49" s="16"/>
      <c r="AFN49" s="16"/>
      <c r="AFO49" s="16"/>
      <c r="AFP49" s="16"/>
      <c r="AFQ49" s="16"/>
      <c r="AFR49" s="16"/>
      <c r="AFS49" s="16"/>
      <c r="AFT49" s="16"/>
      <c r="AFU49" s="16"/>
      <c r="AFV49" s="16"/>
      <c r="AFW49" s="16"/>
      <c r="AFX49" s="16"/>
      <c r="AFY49" s="16"/>
      <c r="AFZ49" s="16"/>
      <c r="AGA49" s="16"/>
      <c r="AGB49" s="16"/>
      <c r="AGC49" s="16"/>
      <c r="AGD49" s="16"/>
      <c r="AGE49" s="16"/>
      <c r="AGF49" s="16"/>
    </row>
    <row r="50" spans="1:864" s="6" customFormat="1">
      <c r="A50" s="151" t="s">
        <v>288</v>
      </c>
      <c r="B50" s="34" t="s">
        <v>179</v>
      </c>
      <c r="C50" s="40" t="s">
        <v>139</v>
      </c>
      <c r="D50" s="34" t="s">
        <v>139</v>
      </c>
      <c r="E50" s="257">
        <v>0.97</v>
      </c>
      <c r="F50" s="232">
        <v>2</v>
      </c>
      <c r="G50" s="40" t="s">
        <v>291</v>
      </c>
      <c r="H50" s="29">
        <v>2</v>
      </c>
      <c r="I50" s="9"/>
      <c r="J50" s="9">
        <v>2</v>
      </c>
      <c r="K50" s="9">
        <v>3</v>
      </c>
      <c r="L50" s="9">
        <v>3</v>
      </c>
      <c r="M50" s="9">
        <v>1</v>
      </c>
      <c r="N50" s="185">
        <f t="shared" si="1"/>
        <v>0.51126068492676302</v>
      </c>
      <c r="O50" s="159" t="str">
        <f t="shared" si="2"/>
        <v/>
      </c>
      <c r="P50" s="63" t="s">
        <v>292</v>
      </c>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row>
    <row r="51" spans="1:864" s="6" customFormat="1">
      <c r="A51" s="151" t="s">
        <v>288</v>
      </c>
      <c r="B51" s="34" t="s">
        <v>179</v>
      </c>
      <c r="C51" s="40" t="s">
        <v>139</v>
      </c>
      <c r="D51" s="34" t="s">
        <v>139</v>
      </c>
      <c r="E51" s="257">
        <v>0</v>
      </c>
      <c r="F51" s="232">
        <v>2</v>
      </c>
      <c r="G51" s="40" t="s">
        <v>293</v>
      </c>
      <c r="H51" s="29"/>
      <c r="I51" s="9"/>
      <c r="J51" s="9"/>
      <c r="K51" s="9"/>
      <c r="L51" s="9"/>
      <c r="M51" s="9"/>
      <c r="N51" s="185" t="str">
        <f t="shared" si="1"/>
        <v/>
      </c>
      <c r="O51" s="159" t="str">
        <f t="shared" si="2"/>
        <v/>
      </c>
      <c r="P51" s="63"/>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row>
    <row r="52" spans="1:864" s="6" customFormat="1">
      <c r="A52" s="151" t="s">
        <v>288</v>
      </c>
      <c r="B52" s="34" t="s">
        <v>179</v>
      </c>
      <c r="C52" s="40" t="s">
        <v>139</v>
      </c>
      <c r="D52" s="34" t="s">
        <v>139</v>
      </c>
      <c r="E52" s="257">
        <v>0.61</v>
      </c>
      <c r="F52" s="232">
        <v>2</v>
      </c>
      <c r="G52" s="40" t="s">
        <v>294</v>
      </c>
      <c r="H52" s="29">
        <v>1</v>
      </c>
      <c r="I52" s="9"/>
      <c r="J52" s="9">
        <v>2</v>
      </c>
      <c r="K52" s="9">
        <v>3</v>
      </c>
      <c r="L52" s="9">
        <v>3</v>
      </c>
      <c r="M52" s="9">
        <v>1</v>
      </c>
      <c r="N52" s="185">
        <f t="shared" si="1"/>
        <v>0.50042652380814845</v>
      </c>
      <c r="O52" s="159" t="str">
        <f t="shared" si="2"/>
        <v/>
      </c>
      <c r="P52" s="63"/>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row>
    <row r="53" spans="1:864" s="6" customFormat="1">
      <c r="A53" s="151" t="s">
        <v>288</v>
      </c>
      <c r="B53" s="34" t="s">
        <v>179</v>
      </c>
      <c r="C53" s="40" t="s">
        <v>139</v>
      </c>
      <c r="D53" s="34" t="s">
        <v>139</v>
      </c>
      <c r="E53" s="257">
        <v>0.39473684210526327</v>
      </c>
      <c r="F53" s="232">
        <v>2</v>
      </c>
      <c r="G53" s="40" t="s">
        <v>295</v>
      </c>
      <c r="H53" s="29">
        <v>2</v>
      </c>
      <c r="I53" s="9"/>
      <c r="J53" s="9">
        <v>2</v>
      </c>
      <c r="K53" s="9">
        <v>3</v>
      </c>
      <c r="L53" s="9">
        <v>3</v>
      </c>
      <c r="M53" s="9">
        <v>1</v>
      </c>
      <c r="N53" s="185">
        <f t="shared" si="1"/>
        <v>0.51126068492676302</v>
      </c>
      <c r="O53" s="159" t="str">
        <f t="shared" si="2"/>
        <v/>
      </c>
      <c r="P53" s="63" t="s">
        <v>296</v>
      </c>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c r="QE53" s="16"/>
      <c r="QF53" s="16"/>
      <c r="QG53" s="16"/>
      <c r="QH53" s="16"/>
      <c r="QI53" s="16"/>
      <c r="QJ53" s="16"/>
      <c r="QK53" s="16"/>
      <c r="QL53" s="16"/>
      <c r="QM53" s="16"/>
      <c r="QN53" s="16"/>
      <c r="QO53" s="16"/>
      <c r="QP53" s="16"/>
      <c r="QQ53" s="16"/>
      <c r="QR53" s="16"/>
      <c r="QS53" s="16"/>
      <c r="QT53" s="16"/>
      <c r="QU53" s="16"/>
      <c r="QV53" s="16"/>
      <c r="QW53" s="16"/>
      <c r="QX53" s="16"/>
      <c r="QY53" s="16"/>
      <c r="QZ53" s="16"/>
      <c r="RA53" s="16"/>
      <c r="RB53" s="16"/>
      <c r="RC53" s="16"/>
      <c r="RD53" s="16"/>
      <c r="RE53" s="16"/>
      <c r="RF53" s="16"/>
      <c r="RG53" s="16"/>
      <c r="RH53" s="16"/>
      <c r="RI53" s="16"/>
      <c r="RJ53" s="16"/>
      <c r="RK53" s="16"/>
      <c r="RL53" s="16"/>
      <c r="RM53" s="16"/>
      <c r="RN53" s="16"/>
      <c r="RO53" s="16"/>
      <c r="RP53" s="16"/>
      <c r="RQ53" s="16"/>
      <c r="RR53" s="16"/>
      <c r="RS53" s="16"/>
      <c r="RT53" s="16"/>
      <c r="RU53" s="16"/>
      <c r="RV53" s="16"/>
      <c r="RW53" s="16"/>
      <c r="RX53" s="16"/>
      <c r="RY53" s="16"/>
      <c r="RZ53" s="16"/>
      <c r="SA53" s="16"/>
      <c r="SB53" s="16"/>
      <c r="SC53" s="16"/>
      <c r="SD53" s="16"/>
      <c r="SE53" s="16"/>
      <c r="SF53" s="16"/>
      <c r="SG53" s="16"/>
      <c r="SH53" s="16"/>
      <c r="SI53" s="16"/>
      <c r="SJ53" s="16"/>
      <c r="SK53" s="16"/>
      <c r="SL53" s="16"/>
      <c r="SM53" s="16"/>
      <c r="SN53" s="16"/>
      <c r="SO53" s="16"/>
      <c r="SP53" s="16"/>
      <c r="SQ53" s="16"/>
      <c r="SR53" s="16"/>
      <c r="SS53" s="16"/>
      <c r="ST53" s="16"/>
      <c r="SU53" s="16"/>
      <c r="SV53" s="16"/>
      <c r="SW53" s="16"/>
      <c r="SX53" s="16"/>
      <c r="SY53" s="16"/>
      <c r="SZ53" s="16"/>
      <c r="TA53" s="16"/>
      <c r="TB53" s="16"/>
      <c r="TC53" s="16"/>
      <c r="TD53" s="16"/>
      <c r="TE53" s="16"/>
      <c r="TF53" s="16"/>
      <c r="TG53" s="16"/>
      <c r="TH53" s="16"/>
      <c r="TI53" s="16"/>
      <c r="TJ53" s="16"/>
      <c r="TK53" s="16"/>
      <c r="TL53" s="16"/>
      <c r="TM53" s="16"/>
      <c r="TN53" s="16"/>
      <c r="TO53" s="16"/>
      <c r="TP53" s="16"/>
      <c r="TQ53" s="16"/>
      <c r="TR53" s="16"/>
      <c r="TS53" s="16"/>
      <c r="TT53" s="16"/>
      <c r="TU53" s="16"/>
      <c r="TV53" s="16"/>
      <c r="TW53" s="16"/>
      <c r="TX53" s="16"/>
      <c r="TY53" s="16"/>
      <c r="TZ53" s="16"/>
      <c r="UA53" s="16"/>
      <c r="UB53" s="16"/>
      <c r="UC53" s="16"/>
      <c r="UD53" s="16"/>
      <c r="UE53" s="16"/>
      <c r="UF53" s="16"/>
      <c r="UG53" s="16"/>
      <c r="UH53" s="16"/>
      <c r="UI53" s="16"/>
      <c r="UJ53" s="16"/>
      <c r="UK53" s="16"/>
      <c r="UL53" s="16"/>
      <c r="UM53" s="16"/>
      <c r="UN53" s="16"/>
      <c r="UO53" s="16"/>
      <c r="UP53" s="16"/>
      <c r="UQ53" s="16"/>
      <c r="UR53" s="16"/>
      <c r="US53" s="16"/>
      <c r="UT53" s="16"/>
      <c r="UU53" s="16"/>
      <c r="UV53" s="16"/>
      <c r="UW53" s="16"/>
      <c r="UX53" s="16"/>
      <c r="UY53" s="16"/>
      <c r="UZ53" s="16"/>
      <c r="VA53" s="16"/>
      <c r="VB53" s="16"/>
      <c r="VC53" s="16"/>
      <c r="VD53" s="16"/>
      <c r="VE53" s="16"/>
      <c r="VF53" s="16"/>
      <c r="VG53" s="16"/>
      <c r="VH53" s="16"/>
      <c r="VI53" s="16"/>
      <c r="VJ53" s="16"/>
      <c r="VK53" s="16"/>
      <c r="VL53" s="16"/>
      <c r="VM53" s="16"/>
      <c r="VN53" s="16"/>
      <c r="VO53" s="16"/>
      <c r="VP53" s="16"/>
      <c r="VQ53" s="16"/>
      <c r="VR53" s="16"/>
      <c r="VS53" s="16"/>
      <c r="VT53" s="16"/>
      <c r="VU53" s="16"/>
      <c r="VV53" s="16"/>
      <c r="VW53" s="16"/>
      <c r="VX53" s="16"/>
      <c r="VY53" s="16"/>
      <c r="VZ53" s="16"/>
      <c r="WA53" s="16"/>
      <c r="WB53" s="16"/>
      <c r="WC53" s="16"/>
      <c r="WD53" s="16"/>
      <c r="WE53" s="16"/>
      <c r="WF53" s="16"/>
      <c r="WG53" s="16"/>
      <c r="WH53" s="16"/>
      <c r="WI53" s="16"/>
      <c r="WJ53" s="16"/>
      <c r="WK53" s="16"/>
      <c r="WL53" s="16"/>
      <c r="WM53" s="16"/>
      <c r="WN53" s="16"/>
      <c r="WO53" s="16"/>
      <c r="WP53" s="16"/>
      <c r="WQ53" s="16"/>
      <c r="WR53" s="16"/>
      <c r="WS53" s="16"/>
      <c r="WT53" s="16"/>
      <c r="WU53" s="16"/>
      <c r="WV53" s="16"/>
      <c r="WW53" s="16"/>
      <c r="WX53" s="16"/>
      <c r="WY53" s="16"/>
      <c r="WZ53" s="16"/>
      <c r="XA53" s="16"/>
      <c r="XB53" s="16"/>
      <c r="XC53" s="16"/>
      <c r="XD53" s="16"/>
      <c r="XE53" s="16"/>
      <c r="XF53" s="16"/>
      <c r="XG53" s="16"/>
      <c r="XH53" s="16"/>
      <c r="XI53" s="16"/>
      <c r="XJ53" s="16"/>
      <c r="XK53" s="16"/>
      <c r="XL53" s="16"/>
      <c r="XM53" s="16"/>
      <c r="XN53" s="16"/>
      <c r="XO53" s="16"/>
      <c r="XP53" s="16"/>
      <c r="XQ53" s="16"/>
      <c r="XR53" s="16"/>
      <c r="XS53" s="16"/>
      <c r="XT53" s="16"/>
      <c r="XU53" s="16"/>
      <c r="XV53" s="16"/>
      <c r="XW53" s="16"/>
      <c r="XX53" s="16"/>
      <c r="XY53" s="16"/>
      <c r="XZ53" s="16"/>
      <c r="YA53" s="16"/>
      <c r="YB53" s="16"/>
      <c r="YC53" s="16"/>
      <c r="YD53" s="16"/>
      <c r="YE53" s="16"/>
      <c r="YF53" s="16"/>
      <c r="YG53" s="16"/>
      <c r="YH53" s="16"/>
      <c r="YI53" s="16"/>
      <c r="YJ53" s="16"/>
      <c r="YK53" s="16"/>
      <c r="YL53" s="16"/>
      <c r="YM53" s="16"/>
      <c r="YN53" s="16"/>
      <c r="YO53" s="16"/>
      <c r="YP53" s="16"/>
      <c r="YQ53" s="16"/>
      <c r="YR53" s="16"/>
      <c r="YS53" s="16"/>
      <c r="YT53" s="16"/>
      <c r="YU53" s="16"/>
      <c r="YV53" s="16"/>
      <c r="YW53" s="16"/>
      <c r="YX53" s="16"/>
      <c r="YY53" s="16"/>
      <c r="YZ53" s="16"/>
      <c r="ZA53" s="16"/>
      <c r="ZB53" s="16"/>
      <c r="ZC53" s="16"/>
      <c r="ZD53" s="16"/>
      <c r="ZE53" s="16"/>
      <c r="ZF53" s="16"/>
      <c r="ZG53" s="16"/>
      <c r="ZH53" s="16"/>
      <c r="ZI53" s="16"/>
      <c r="ZJ53" s="16"/>
      <c r="ZK53" s="16"/>
      <c r="ZL53" s="16"/>
      <c r="ZM53" s="16"/>
      <c r="ZN53" s="16"/>
      <c r="ZO53" s="16"/>
      <c r="ZP53" s="16"/>
      <c r="ZQ53" s="16"/>
      <c r="ZR53" s="16"/>
      <c r="ZS53" s="16"/>
      <c r="ZT53" s="16"/>
      <c r="ZU53" s="16"/>
      <c r="ZV53" s="16"/>
      <c r="ZW53" s="16"/>
      <c r="ZX53" s="16"/>
      <c r="ZY53" s="16"/>
      <c r="ZZ53" s="16"/>
      <c r="AAA53" s="16"/>
      <c r="AAB53" s="16"/>
      <c r="AAC53" s="16"/>
      <c r="AAD53" s="16"/>
      <c r="AAE53" s="16"/>
      <c r="AAF53" s="16"/>
      <c r="AAG53" s="16"/>
      <c r="AAH53" s="16"/>
      <c r="AAI53" s="16"/>
      <c r="AAJ53" s="16"/>
      <c r="AAK53" s="16"/>
      <c r="AAL53" s="16"/>
      <c r="AAM53" s="16"/>
      <c r="AAN53" s="16"/>
      <c r="AAO53" s="16"/>
      <c r="AAP53" s="16"/>
      <c r="AAQ53" s="16"/>
      <c r="AAR53" s="16"/>
      <c r="AAS53" s="16"/>
      <c r="AAT53" s="16"/>
      <c r="AAU53" s="16"/>
      <c r="AAV53" s="16"/>
      <c r="AAW53" s="16"/>
      <c r="AAX53" s="16"/>
      <c r="AAY53" s="16"/>
      <c r="AAZ53" s="16"/>
      <c r="ABA53" s="16"/>
      <c r="ABB53" s="16"/>
      <c r="ABC53" s="16"/>
      <c r="ABD53" s="16"/>
      <c r="ABE53" s="16"/>
      <c r="ABF53" s="16"/>
      <c r="ABG53" s="16"/>
      <c r="ABH53" s="16"/>
      <c r="ABI53" s="16"/>
      <c r="ABJ53" s="16"/>
      <c r="ABK53" s="16"/>
      <c r="ABL53" s="16"/>
      <c r="ABM53" s="16"/>
      <c r="ABN53" s="16"/>
      <c r="ABO53" s="16"/>
      <c r="ABP53" s="16"/>
      <c r="ABQ53" s="16"/>
      <c r="ABR53" s="16"/>
      <c r="ABS53" s="16"/>
      <c r="ABT53" s="16"/>
      <c r="ABU53" s="16"/>
      <c r="ABV53" s="16"/>
      <c r="ABW53" s="16"/>
      <c r="ABX53" s="16"/>
      <c r="ABY53" s="16"/>
      <c r="ABZ53" s="16"/>
      <c r="ACA53" s="16"/>
      <c r="ACB53" s="16"/>
      <c r="ACC53" s="16"/>
      <c r="ACD53" s="16"/>
      <c r="ACE53" s="16"/>
      <c r="ACF53" s="16"/>
      <c r="ACG53" s="16"/>
      <c r="ACH53" s="16"/>
      <c r="ACI53" s="16"/>
      <c r="ACJ53" s="16"/>
      <c r="ACK53" s="16"/>
      <c r="ACL53" s="16"/>
      <c r="ACM53" s="16"/>
      <c r="ACN53" s="16"/>
      <c r="ACO53" s="16"/>
      <c r="ACP53" s="16"/>
      <c r="ACQ53" s="16"/>
      <c r="ACR53" s="16"/>
      <c r="ACS53" s="16"/>
      <c r="ACT53" s="16"/>
      <c r="ACU53" s="16"/>
      <c r="ACV53" s="16"/>
      <c r="ACW53" s="16"/>
      <c r="ACX53" s="16"/>
      <c r="ACY53" s="16"/>
      <c r="ACZ53" s="16"/>
      <c r="ADA53" s="16"/>
      <c r="ADB53" s="16"/>
      <c r="ADC53" s="16"/>
      <c r="ADD53" s="16"/>
      <c r="ADE53" s="16"/>
      <c r="ADF53" s="16"/>
      <c r="ADG53" s="16"/>
      <c r="ADH53" s="16"/>
      <c r="ADI53" s="16"/>
      <c r="ADJ53" s="16"/>
      <c r="ADK53" s="16"/>
      <c r="ADL53" s="16"/>
      <c r="ADM53" s="16"/>
      <c r="ADN53" s="16"/>
      <c r="ADO53" s="16"/>
      <c r="ADP53" s="16"/>
      <c r="ADQ53" s="16"/>
      <c r="ADR53" s="16"/>
      <c r="ADS53" s="16"/>
      <c r="ADT53" s="16"/>
      <c r="ADU53" s="16"/>
      <c r="ADV53" s="16"/>
      <c r="ADW53" s="16"/>
      <c r="ADX53" s="16"/>
      <c r="ADY53" s="16"/>
      <c r="ADZ53" s="16"/>
      <c r="AEA53" s="16"/>
      <c r="AEB53" s="16"/>
      <c r="AEC53" s="16"/>
      <c r="AED53" s="16"/>
      <c r="AEE53" s="16"/>
      <c r="AEF53" s="16"/>
      <c r="AEG53" s="16"/>
      <c r="AEH53" s="16"/>
      <c r="AEI53" s="16"/>
      <c r="AEJ53" s="16"/>
      <c r="AEK53" s="16"/>
      <c r="AEL53" s="16"/>
      <c r="AEM53" s="16"/>
      <c r="AEN53" s="16"/>
      <c r="AEO53" s="16"/>
      <c r="AEP53" s="16"/>
      <c r="AEQ53" s="16"/>
      <c r="AER53" s="16"/>
      <c r="AES53" s="16"/>
      <c r="AET53" s="16"/>
      <c r="AEU53" s="16"/>
      <c r="AEV53" s="16"/>
      <c r="AEW53" s="16"/>
      <c r="AEX53" s="16"/>
      <c r="AEY53" s="16"/>
      <c r="AEZ53" s="16"/>
      <c r="AFA53" s="16"/>
      <c r="AFB53" s="16"/>
      <c r="AFC53" s="16"/>
      <c r="AFD53" s="16"/>
      <c r="AFE53" s="16"/>
      <c r="AFF53" s="16"/>
      <c r="AFG53" s="16"/>
      <c r="AFH53" s="16"/>
      <c r="AFI53" s="16"/>
      <c r="AFJ53" s="16"/>
      <c r="AFK53" s="16"/>
      <c r="AFL53" s="16"/>
      <c r="AFM53" s="16"/>
      <c r="AFN53" s="16"/>
      <c r="AFO53" s="16"/>
      <c r="AFP53" s="16"/>
      <c r="AFQ53" s="16"/>
      <c r="AFR53" s="16"/>
      <c r="AFS53" s="16"/>
      <c r="AFT53" s="16"/>
      <c r="AFU53" s="16"/>
      <c r="AFV53" s="16"/>
      <c r="AFW53" s="16"/>
      <c r="AFX53" s="16"/>
      <c r="AFY53" s="16"/>
      <c r="AFZ53" s="16"/>
      <c r="AGA53" s="16"/>
      <c r="AGB53" s="16"/>
      <c r="AGC53" s="16"/>
      <c r="AGD53" s="16"/>
      <c r="AGE53" s="16"/>
      <c r="AGF53" s="16"/>
    </row>
    <row r="54" spans="1:864" s="6" customFormat="1">
      <c r="A54" s="151" t="s">
        <v>288</v>
      </c>
      <c r="B54" s="34" t="s">
        <v>179</v>
      </c>
      <c r="C54" s="40" t="s">
        <v>139</v>
      </c>
      <c r="D54" s="34" t="s">
        <v>139</v>
      </c>
      <c r="E54" s="168">
        <v>1</v>
      </c>
      <c r="F54" s="232">
        <v>2</v>
      </c>
      <c r="G54" s="40" t="s">
        <v>297</v>
      </c>
      <c r="H54" s="29"/>
      <c r="I54" s="9"/>
      <c r="J54" s="9"/>
      <c r="K54" s="9"/>
      <c r="L54" s="9"/>
      <c r="M54" s="9"/>
      <c r="N54" s="185" t="str">
        <f t="shared" si="1"/>
        <v/>
      </c>
      <c r="O54" s="159" t="str">
        <f t="shared" si="2"/>
        <v/>
      </c>
      <c r="P54" s="63"/>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c r="ZZ54" s="16"/>
      <c r="AAA54" s="16"/>
      <c r="AAB54" s="16"/>
      <c r="AAC54" s="16"/>
      <c r="AAD54" s="16"/>
      <c r="AAE54" s="16"/>
      <c r="AAF54" s="16"/>
      <c r="AAG54" s="16"/>
      <c r="AAH54" s="16"/>
      <c r="AAI54" s="16"/>
      <c r="AAJ54" s="16"/>
      <c r="AAK54" s="16"/>
      <c r="AAL54" s="16"/>
      <c r="AAM54" s="16"/>
      <c r="AAN54" s="16"/>
      <c r="AAO54" s="16"/>
      <c r="AAP54" s="16"/>
      <c r="AAQ54" s="16"/>
      <c r="AAR54" s="16"/>
      <c r="AAS54" s="16"/>
      <c r="AAT54" s="16"/>
      <c r="AAU54" s="16"/>
      <c r="AAV54" s="16"/>
      <c r="AAW54" s="16"/>
      <c r="AAX54" s="16"/>
      <c r="AAY54" s="16"/>
      <c r="AAZ54" s="16"/>
      <c r="ABA54" s="16"/>
      <c r="ABB54" s="16"/>
      <c r="ABC54" s="16"/>
      <c r="ABD54" s="16"/>
      <c r="ABE54" s="16"/>
      <c r="ABF54" s="16"/>
      <c r="ABG54" s="16"/>
      <c r="ABH54" s="16"/>
      <c r="ABI54" s="16"/>
      <c r="ABJ54" s="16"/>
      <c r="ABK54" s="16"/>
      <c r="ABL54" s="16"/>
      <c r="ABM54" s="16"/>
      <c r="ABN54" s="16"/>
      <c r="ABO54" s="16"/>
      <c r="ABP54" s="16"/>
      <c r="ABQ54" s="16"/>
      <c r="ABR54" s="16"/>
      <c r="ABS54" s="16"/>
      <c r="ABT54" s="16"/>
      <c r="ABU54" s="16"/>
      <c r="ABV54" s="16"/>
      <c r="ABW54" s="16"/>
      <c r="ABX54" s="16"/>
      <c r="ABY54" s="16"/>
      <c r="ABZ54" s="16"/>
      <c r="ACA54" s="16"/>
      <c r="ACB54" s="16"/>
      <c r="ACC54" s="16"/>
      <c r="ACD54" s="16"/>
      <c r="ACE54" s="16"/>
      <c r="ACF54" s="16"/>
      <c r="ACG54" s="16"/>
      <c r="ACH54" s="16"/>
      <c r="ACI54" s="16"/>
      <c r="ACJ54" s="16"/>
      <c r="ACK54" s="16"/>
      <c r="ACL54" s="16"/>
      <c r="ACM54" s="16"/>
      <c r="ACN54" s="16"/>
      <c r="ACO54" s="16"/>
      <c r="ACP54" s="16"/>
      <c r="ACQ54" s="16"/>
      <c r="ACR54" s="16"/>
      <c r="ACS54" s="16"/>
      <c r="ACT54" s="16"/>
      <c r="ACU54" s="16"/>
      <c r="ACV54" s="16"/>
      <c r="ACW54" s="16"/>
      <c r="ACX54" s="16"/>
      <c r="ACY54" s="16"/>
      <c r="ACZ54" s="16"/>
      <c r="ADA54" s="16"/>
      <c r="ADB54" s="16"/>
      <c r="ADC54" s="16"/>
      <c r="ADD54" s="16"/>
      <c r="ADE54" s="16"/>
      <c r="ADF54" s="16"/>
      <c r="ADG54" s="16"/>
      <c r="ADH54" s="16"/>
      <c r="ADI54" s="16"/>
      <c r="ADJ54" s="16"/>
      <c r="ADK54" s="16"/>
      <c r="ADL54" s="16"/>
      <c r="ADM54" s="16"/>
      <c r="ADN54" s="16"/>
      <c r="ADO54" s="16"/>
      <c r="ADP54" s="16"/>
      <c r="ADQ54" s="16"/>
      <c r="ADR54" s="16"/>
      <c r="ADS54" s="16"/>
      <c r="ADT54" s="16"/>
      <c r="ADU54" s="16"/>
      <c r="ADV54" s="16"/>
      <c r="ADW54" s="16"/>
      <c r="ADX54" s="16"/>
      <c r="ADY54" s="16"/>
      <c r="ADZ54" s="16"/>
      <c r="AEA54" s="16"/>
      <c r="AEB54" s="16"/>
      <c r="AEC54" s="16"/>
      <c r="AED54" s="16"/>
      <c r="AEE54" s="16"/>
      <c r="AEF54" s="16"/>
      <c r="AEG54" s="16"/>
      <c r="AEH54" s="16"/>
      <c r="AEI54" s="16"/>
      <c r="AEJ54" s="16"/>
      <c r="AEK54" s="16"/>
      <c r="AEL54" s="16"/>
      <c r="AEM54" s="16"/>
      <c r="AEN54" s="16"/>
      <c r="AEO54" s="16"/>
      <c r="AEP54" s="16"/>
      <c r="AEQ54" s="16"/>
      <c r="AER54" s="16"/>
      <c r="AES54" s="16"/>
      <c r="AET54" s="16"/>
      <c r="AEU54" s="16"/>
      <c r="AEV54" s="16"/>
      <c r="AEW54" s="16"/>
      <c r="AEX54" s="16"/>
      <c r="AEY54" s="16"/>
      <c r="AEZ54" s="16"/>
      <c r="AFA54" s="16"/>
      <c r="AFB54" s="16"/>
      <c r="AFC54" s="16"/>
      <c r="AFD54" s="16"/>
      <c r="AFE54" s="16"/>
      <c r="AFF54" s="16"/>
      <c r="AFG54" s="16"/>
      <c r="AFH54" s="16"/>
      <c r="AFI54" s="16"/>
      <c r="AFJ54" s="16"/>
      <c r="AFK54" s="16"/>
      <c r="AFL54" s="16"/>
      <c r="AFM54" s="16"/>
      <c r="AFN54" s="16"/>
      <c r="AFO54" s="16"/>
      <c r="AFP54" s="16"/>
      <c r="AFQ54" s="16"/>
      <c r="AFR54" s="16"/>
      <c r="AFS54" s="16"/>
      <c r="AFT54" s="16"/>
      <c r="AFU54" s="16"/>
      <c r="AFV54" s="16"/>
      <c r="AFW54" s="16"/>
      <c r="AFX54" s="16"/>
      <c r="AFY54" s="16"/>
      <c r="AFZ54" s="16"/>
      <c r="AGA54" s="16"/>
      <c r="AGB54" s="16"/>
      <c r="AGC54" s="16"/>
      <c r="AGD54" s="16"/>
      <c r="AGE54" s="16"/>
      <c r="AGF54" s="16"/>
    </row>
    <row r="55" spans="1:864" s="6" customFormat="1">
      <c r="A55" s="151" t="s">
        <v>385</v>
      </c>
      <c r="B55" s="34" t="s">
        <v>401</v>
      </c>
      <c r="C55" s="40" t="s">
        <v>139</v>
      </c>
      <c r="D55" s="34" t="s">
        <v>139</v>
      </c>
      <c r="E55" s="257" t="s">
        <v>150</v>
      </c>
      <c r="F55" s="232">
        <v>1</v>
      </c>
      <c r="G55" s="40"/>
      <c r="H55" s="29"/>
      <c r="I55" s="9"/>
      <c r="J55" s="9"/>
      <c r="K55" s="9"/>
      <c r="L55" s="9"/>
      <c r="M55" s="9"/>
      <c r="N55" s="185" t="str">
        <f t="shared" si="1"/>
        <v/>
      </c>
      <c r="O55" s="159" t="str">
        <f t="shared" si="2"/>
        <v/>
      </c>
      <c r="P55" s="63" t="s">
        <v>402</v>
      </c>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c r="QE55" s="16"/>
      <c r="QF55" s="16"/>
      <c r="QG55" s="16"/>
      <c r="QH55" s="16"/>
      <c r="QI55" s="16"/>
      <c r="QJ55" s="16"/>
      <c r="QK55" s="16"/>
      <c r="QL55" s="16"/>
      <c r="QM55" s="16"/>
      <c r="QN55" s="16"/>
      <c r="QO55" s="16"/>
      <c r="QP55" s="16"/>
      <c r="QQ55" s="16"/>
      <c r="QR55" s="16"/>
      <c r="QS55" s="16"/>
      <c r="QT55" s="16"/>
      <c r="QU55" s="16"/>
      <c r="QV55" s="16"/>
      <c r="QW55" s="16"/>
      <c r="QX55" s="16"/>
      <c r="QY55" s="16"/>
      <c r="QZ55" s="16"/>
      <c r="RA55" s="16"/>
      <c r="RB55" s="16"/>
      <c r="RC55" s="16"/>
      <c r="RD55" s="16"/>
      <c r="RE55" s="16"/>
      <c r="RF55" s="16"/>
      <c r="RG55" s="16"/>
      <c r="RH55" s="16"/>
      <c r="RI55" s="16"/>
      <c r="RJ55" s="16"/>
      <c r="RK55" s="16"/>
      <c r="RL55" s="16"/>
      <c r="RM55" s="16"/>
      <c r="RN55" s="16"/>
      <c r="RO55" s="16"/>
      <c r="RP55" s="16"/>
      <c r="RQ55" s="16"/>
      <c r="RR55" s="16"/>
      <c r="RS55" s="16"/>
      <c r="RT55" s="16"/>
      <c r="RU55" s="16"/>
      <c r="RV55" s="16"/>
      <c r="RW55" s="16"/>
      <c r="RX55" s="16"/>
      <c r="RY55" s="16"/>
      <c r="RZ55" s="16"/>
      <c r="SA55" s="16"/>
      <c r="SB55" s="16"/>
      <c r="SC55" s="16"/>
      <c r="SD55" s="16"/>
      <c r="SE55" s="16"/>
      <c r="SF55" s="16"/>
      <c r="SG55" s="16"/>
      <c r="SH55" s="16"/>
      <c r="SI55" s="16"/>
      <c r="SJ55" s="16"/>
      <c r="SK55" s="16"/>
      <c r="SL55" s="16"/>
      <c r="SM55" s="16"/>
      <c r="SN55" s="16"/>
      <c r="SO55" s="16"/>
      <c r="SP55" s="16"/>
      <c r="SQ55" s="16"/>
      <c r="SR55" s="16"/>
      <c r="SS55" s="16"/>
      <c r="ST55" s="16"/>
      <c r="SU55" s="16"/>
      <c r="SV55" s="16"/>
      <c r="SW55" s="16"/>
      <c r="SX55" s="16"/>
      <c r="SY55" s="16"/>
      <c r="SZ55" s="16"/>
      <c r="TA55" s="16"/>
      <c r="TB55" s="16"/>
      <c r="TC55" s="16"/>
      <c r="TD55" s="16"/>
      <c r="TE55" s="16"/>
      <c r="TF55" s="16"/>
      <c r="TG55" s="16"/>
      <c r="TH55" s="16"/>
      <c r="TI55" s="16"/>
      <c r="TJ55" s="16"/>
      <c r="TK55" s="16"/>
      <c r="TL55" s="16"/>
      <c r="TM55" s="16"/>
      <c r="TN55" s="16"/>
      <c r="TO55" s="16"/>
      <c r="TP55" s="16"/>
      <c r="TQ55" s="16"/>
      <c r="TR55" s="16"/>
      <c r="TS55" s="16"/>
      <c r="TT55" s="16"/>
      <c r="TU55" s="16"/>
      <c r="TV55" s="16"/>
      <c r="TW55" s="16"/>
      <c r="TX55" s="16"/>
      <c r="TY55" s="16"/>
      <c r="TZ55" s="16"/>
      <c r="UA55" s="16"/>
      <c r="UB55" s="16"/>
      <c r="UC55" s="16"/>
      <c r="UD55" s="16"/>
      <c r="UE55" s="16"/>
      <c r="UF55" s="16"/>
      <c r="UG55" s="16"/>
      <c r="UH55" s="16"/>
      <c r="UI55" s="16"/>
      <c r="UJ55" s="16"/>
      <c r="UK55" s="16"/>
      <c r="UL55" s="16"/>
      <c r="UM55" s="16"/>
      <c r="UN55" s="16"/>
      <c r="UO55" s="16"/>
      <c r="UP55" s="16"/>
      <c r="UQ55" s="16"/>
      <c r="UR55" s="16"/>
      <c r="US55" s="16"/>
      <c r="UT55" s="16"/>
      <c r="UU55" s="16"/>
      <c r="UV55" s="16"/>
      <c r="UW55" s="16"/>
      <c r="UX55" s="16"/>
      <c r="UY55" s="16"/>
      <c r="UZ55" s="16"/>
      <c r="VA55" s="16"/>
      <c r="VB55" s="16"/>
      <c r="VC55" s="16"/>
      <c r="VD55" s="16"/>
      <c r="VE55" s="16"/>
      <c r="VF55" s="16"/>
      <c r="VG55" s="16"/>
      <c r="VH55" s="16"/>
      <c r="VI55" s="16"/>
      <c r="VJ55" s="16"/>
      <c r="VK55" s="16"/>
      <c r="VL55" s="16"/>
      <c r="VM55" s="16"/>
      <c r="VN55" s="16"/>
      <c r="VO55" s="16"/>
      <c r="VP55" s="16"/>
      <c r="VQ55" s="16"/>
      <c r="VR55" s="16"/>
      <c r="VS55" s="16"/>
      <c r="VT55" s="16"/>
      <c r="VU55" s="16"/>
      <c r="VV55" s="16"/>
      <c r="VW55" s="16"/>
      <c r="VX55" s="16"/>
      <c r="VY55" s="16"/>
      <c r="VZ55" s="16"/>
      <c r="WA55" s="16"/>
      <c r="WB55" s="16"/>
      <c r="WC55" s="16"/>
      <c r="WD55" s="16"/>
      <c r="WE55" s="16"/>
      <c r="WF55" s="16"/>
      <c r="WG55" s="16"/>
      <c r="WH55" s="16"/>
      <c r="WI55" s="16"/>
      <c r="WJ55" s="16"/>
      <c r="WK55" s="16"/>
      <c r="WL55" s="16"/>
      <c r="WM55" s="16"/>
      <c r="WN55" s="16"/>
      <c r="WO55" s="16"/>
      <c r="WP55" s="16"/>
      <c r="WQ55" s="16"/>
      <c r="WR55" s="16"/>
      <c r="WS55" s="16"/>
      <c r="WT55" s="16"/>
      <c r="WU55" s="16"/>
      <c r="WV55" s="16"/>
      <c r="WW55" s="16"/>
      <c r="WX55" s="16"/>
      <c r="WY55" s="16"/>
      <c r="WZ55" s="16"/>
      <c r="XA55" s="16"/>
      <c r="XB55" s="16"/>
      <c r="XC55" s="16"/>
      <c r="XD55" s="16"/>
      <c r="XE55" s="16"/>
      <c r="XF55" s="16"/>
      <c r="XG55" s="16"/>
      <c r="XH55" s="16"/>
      <c r="XI55" s="16"/>
      <c r="XJ55" s="16"/>
      <c r="XK55" s="16"/>
      <c r="XL55" s="16"/>
      <c r="XM55" s="16"/>
      <c r="XN55" s="16"/>
      <c r="XO55" s="16"/>
      <c r="XP55" s="16"/>
      <c r="XQ55" s="16"/>
      <c r="XR55" s="16"/>
      <c r="XS55" s="16"/>
      <c r="XT55" s="16"/>
      <c r="XU55" s="16"/>
      <c r="XV55" s="16"/>
      <c r="XW55" s="16"/>
      <c r="XX55" s="16"/>
      <c r="XY55" s="16"/>
      <c r="XZ55" s="16"/>
      <c r="YA55" s="16"/>
      <c r="YB55" s="16"/>
      <c r="YC55" s="16"/>
      <c r="YD55" s="16"/>
      <c r="YE55" s="16"/>
      <c r="YF55" s="16"/>
      <c r="YG55" s="16"/>
      <c r="YH55" s="16"/>
      <c r="YI55" s="16"/>
      <c r="YJ55" s="16"/>
      <c r="YK55" s="16"/>
      <c r="YL55" s="16"/>
      <c r="YM55" s="16"/>
      <c r="YN55" s="16"/>
      <c r="YO55" s="16"/>
      <c r="YP55" s="16"/>
      <c r="YQ55" s="16"/>
      <c r="YR55" s="16"/>
      <c r="YS55" s="16"/>
      <c r="YT55" s="16"/>
      <c r="YU55" s="16"/>
      <c r="YV55" s="16"/>
      <c r="YW55" s="16"/>
      <c r="YX55" s="16"/>
      <c r="YY55" s="16"/>
      <c r="YZ55" s="16"/>
      <c r="ZA55" s="16"/>
      <c r="ZB55" s="16"/>
      <c r="ZC55" s="16"/>
      <c r="ZD55" s="16"/>
      <c r="ZE55" s="16"/>
      <c r="ZF55" s="16"/>
      <c r="ZG55" s="16"/>
      <c r="ZH55" s="16"/>
      <c r="ZI55" s="16"/>
      <c r="ZJ55" s="16"/>
      <c r="ZK55" s="16"/>
      <c r="ZL55" s="16"/>
      <c r="ZM55" s="16"/>
      <c r="ZN55" s="16"/>
      <c r="ZO55" s="16"/>
      <c r="ZP55" s="16"/>
      <c r="ZQ55" s="16"/>
      <c r="ZR55" s="16"/>
      <c r="ZS55" s="16"/>
      <c r="ZT55" s="16"/>
      <c r="ZU55" s="16"/>
      <c r="ZV55" s="16"/>
      <c r="ZW55" s="16"/>
      <c r="ZX55" s="16"/>
      <c r="ZY55" s="16"/>
      <c r="ZZ55" s="16"/>
      <c r="AAA55" s="16"/>
      <c r="AAB55" s="16"/>
      <c r="AAC55" s="16"/>
      <c r="AAD55" s="16"/>
      <c r="AAE55" s="16"/>
      <c r="AAF55" s="16"/>
      <c r="AAG55" s="16"/>
      <c r="AAH55" s="16"/>
      <c r="AAI55" s="16"/>
      <c r="AAJ55" s="16"/>
      <c r="AAK55" s="16"/>
      <c r="AAL55" s="16"/>
      <c r="AAM55" s="16"/>
      <c r="AAN55" s="16"/>
      <c r="AAO55" s="16"/>
      <c r="AAP55" s="16"/>
      <c r="AAQ55" s="16"/>
      <c r="AAR55" s="16"/>
      <c r="AAS55" s="16"/>
      <c r="AAT55" s="16"/>
      <c r="AAU55" s="16"/>
      <c r="AAV55" s="16"/>
      <c r="AAW55" s="16"/>
      <c r="AAX55" s="16"/>
      <c r="AAY55" s="16"/>
      <c r="AAZ55" s="16"/>
      <c r="ABA55" s="16"/>
      <c r="ABB55" s="16"/>
      <c r="ABC55" s="16"/>
      <c r="ABD55" s="16"/>
      <c r="ABE55" s="16"/>
      <c r="ABF55" s="16"/>
      <c r="ABG55" s="16"/>
      <c r="ABH55" s="16"/>
      <c r="ABI55" s="16"/>
      <c r="ABJ55" s="16"/>
      <c r="ABK55" s="16"/>
      <c r="ABL55" s="16"/>
      <c r="ABM55" s="16"/>
      <c r="ABN55" s="16"/>
      <c r="ABO55" s="16"/>
      <c r="ABP55" s="16"/>
      <c r="ABQ55" s="16"/>
      <c r="ABR55" s="16"/>
      <c r="ABS55" s="16"/>
      <c r="ABT55" s="16"/>
      <c r="ABU55" s="16"/>
      <c r="ABV55" s="16"/>
      <c r="ABW55" s="16"/>
      <c r="ABX55" s="16"/>
      <c r="ABY55" s="16"/>
      <c r="ABZ55" s="16"/>
      <c r="ACA55" s="16"/>
      <c r="ACB55" s="16"/>
      <c r="ACC55" s="16"/>
      <c r="ACD55" s="16"/>
      <c r="ACE55" s="16"/>
      <c r="ACF55" s="16"/>
      <c r="ACG55" s="16"/>
      <c r="ACH55" s="16"/>
      <c r="ACI55" s="16"/>
      <c r="ACJ55" s="16"/>
      <c r="ACK55" s="16"/>
      <c r="ACL55" s="16"/>
      <c r="ACM55" s="16"/>
      <c r="ACN55" s="16"/>
      <c r="ACO55" s="16"/>
      <c r="ACP55" s="16"/>
      <c r="ACQ55" s="16"/>
      <c r="ACR55" s="16"/>
      <c r="ACS55" s="16"/>
      <c r="ACT55" s="16"/>
      <c r="ACU55" s="16"/>
      <c r="ACV55" s="16"/>
      <c r="ACW55" s="16"/>
      <c r="ACX55" s="16"/>
      <c r="ACY55" s="16"/>
      <c r="ACZ55" s="16"/>
      <c r="ADA55" s="16"/>
      <c r="ADB55" s="16"/>
      <c r="ADC55" s="16"/>
      <c r="ADD55" s="16"/>
      <c r="ADE55" s="16"/>
      <c r="ADF55" s="16"/>
      <c r="ADG55" s="16"/>
      <c r="ADH55" s="16"/>
      <c r="ADI55" s="16"/>
      <c r="ADJ55" s="16"/>
      <c r="ADK55" s="16"/>
      <c r="ADL55" s="16"/>
      <c r="ADM55" s="16"/>
      <c r="ADN55" s="16"/>
      <c r="ADO55" s="16"/>
      <c r="ADP55" s="16"/>
      <c r="ADQ55" s="16"/>
      <c r="ADR55" s="16"/>
      <c r="ADS55" s="16"/>
      <c r="ADT55" s="16"/>
      <c r="ADU55" s="16"/>
      <c r="ADV55" s="16"/>
      <c r="ADW55" s="16"/>
      <c r="ADX55" s="16"/>
      <c r="ADY55" s="16"/>
      <c r="ADZ55" s="16"/>
      <c r="AEA55" s="16"/>
      <c r="AEB55" s="16"/>
      <c r="AEC55" s="16"/>
      <c r="AED55" s="16"/>
      <c r="AEE55" s="16"/>
      <c r="AEF55" s="16"/>
      <c r="AEG55" s="16"/>
      <c r="AEH55" s="16"/>
      <c r="AEI55" s="16"/>
      <c r="AEJ55" s="16"/>
      <c r="AEK55" s="16"/>
      <c r="AEL55" s="16"/>
      <c r="AEM55" s="16"/>
      <c r="AEN55" s="16"/>
      <c r="AEO55" s="16"/>
      <c r="AEP55" s="16"/>
      <c r="AEQ55" s="16"/>
      <c r="AER55" s="16"/>
      <c r="AES55" s="16"/>
      <c r="AET55" s="16"/>
      <c r="AEU55" s="16"/>
      <c r="AEV55" s="16"/>
      <c r="AEW55" s="16"/>
      <c r="AEX55" s="16"/>
      <c r="AEY55" s="16"/>
      <c r="AEZ55" s="16"/>
      <c r="AFA55" s="16"/>
      <c r="AFB55" s="16"/>
      <c r="AFC55" s="16"/>
      <c r="AFD55" s="16"/>
      <c r="AFE55" s="16"/>
      <c r="AFF55" s="16"/>
      <c r="AFG55" s="16"/>
      <c r="AFH55" s="16"/>
      <c r="AFI55" s="16"/>
      <c r="AFJ55" s="16"/>
      <c r="AFK55" s="16"/>
      <c r="AFL55" s="16"/>
      <c r="AFM55" s="16"/>
      <c r="AFN55" s="16"/>
      <c r="AFO55" s="16"/>
      <c r="AFP55" s="16"/>
      <c r="AFQ55" s="16"/>
      <c r="AFR55" s="16"/>
      <c r="AFS55" s="16"/>
      <c r="AFT55" s="16"/>
      <c r="AFU55" s="16"/>
      <c r="AFV55" s="16"/>
      <c r="AFW55" s="16"/>
      <c r="AFX55" s="16"/>
      <c r="AFY55" s="16"/>
      <c r="AFZ55" s="16"/>
      <c r="AGA55" s="16"/>
      <c r="AGB55" s="16"/>
      <c r="AGC55" s="16"/>
      <c r="AGD55" s="16"/>
      <c r="AGE55" s="16"/>
      <c r="AGF55" s="16"/>
    </row>
    <row r="56" spans="1:864" s="6" customFormat="1">
      <c r="A56" s="151" t="s">
        <v>385</v>
      </c>
      <c r="B56" s="34" t="s">
        <v>286</v>
      </c>
      <c r="C56" s="40" t="s">
        <v>139</v>
      </c>
      <c r="D56" s="34" t="s">
        <v>139</v>
      </c>
      <c r="E56" s="257">
        <v>0.50016393442622953</v>
      </c>
      <c r="F56" s="232">
        <v>2</v>
      </c>
      <c r="G56" s="40" t="s">
        <v>289</v>
      </c>
      <c r="H56" s="29">
        <v>2</v>
      </c>
      <c r="I56" s="9"/>
      <c r="J56" s="9">
        <v>2</v>
      </c>
      <c r="K56" s="9">
        <v>3</v>
      </c>
      <c r="L56" s="9">
        <v>3</v>
      </c>
      <c r="M56" s="9">
        <v>1</v>
      </c>
      <c r="N56" s="185">
        <f t="shared" si="1"/>
        <v>0.51126068492676302</v>
      </c>
      <c r="O56" s="159" t="str">
        <f t="shared" si="2"/>
        <v/>
      </c>
      <c r="P56" s="63" t="s">
        <v>405</v>
      </c>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c r="OA56" s="16"/>
      <c r="OB56" s="16"/>
      <c r="OC56" s="16"/>
      <c r="OD56" s="16"/>
      <c r="OE56" s="16"/>
      <c r="OF56" s="16"/>
      <c r="OG56" s="16"/>
      <c r="OH56" s="16"/>
      <c r="OI56" s="16"/>
      <c r="OJ56" s="16"/>
      <c r="OK56" s="16"/>
      <c r="OL56" s="16"/>
      <c r="OM56" s="16"/>
      <c r="ON56" s="16"/>
      <c r="OO56" s="16"/>
      <c r="OP56" s="16"/>
      <c r="OQ56" s="16"/>
      <c r="OR56" s="16"/>
      <c r="OS56" s="16"/>
      <c r="OT56" s="16"/>
      <c r="OU56" s="16"/>
      <c r="OV56" s="16"/>
      <c r="OW56" s="16"/>
      <c r="OX56" s="16"/>
      <c r="OY56" s="16"/>
      <c r="OZ56" s="16"/>
      <c r="PA56" s="16"/>
      <c r="PB56" s="16"/>
      <c r="PC56" s="16"/>
      <c r="PD56" s="16"/>
      <c r="PE56" s="16"/>
      <c r="PF56" s="16"/>
      <c r="PG56" s="16"/>
      <c r="PH56" s="16"/>
      <c r="PI56" s="16"/>
      <c r="PJ56" s="16"/>
      <c r="PK56" s="16"/>
      <c r="PL56" s="16"/>
      <c r="PM56" s="16"/>
      <c r="PN56" s="16"/>
      <c r="PO56" s="16"/>
      <c r="PP56" s="16"/>
      <c r="PQ56" s="16"/>
      <c r="PR56" s="16"/>
      <c r="PS56" s="16"/>
      <c r="PT56" s="16"/>
      <c r="PU56" s="16"/>
      <c r="PV56" s="16"/>
      <c r="PW56" s="16"/>
      <c r="PX56" s="16"/>
      <c r="PY56" s="16"/>
      <c r="PZ56" s="16"/>
      <c r="QA56" s="16"/>
      <c r="QB56" s="16"/>
      <c r="QC56" s="16"/>
      <c r="QD56" s="16"/>
      <c r="QE56" s="16"/>
      <c r="QF56" s="16"/>
      <c r="QG56" s="16"/>
      <c r="QH56" s="16"/>
      <c r="QI56" s="16"/>
      <c r="QJ56" s="16"/>
      <c r="QK56" s="16"/>
      <c r="QL56" s="16"/>
      <c r="QM56" s="16"/>
      <c r="QN56" s="16"/>
      <c r="QO56" s="16"/>
      <c r="QP56" s="16"/>
      <c r="QQ56" s="16"/>
      <c r="QR56" s="16"/>
      <c r="QS56" s="16"/>
      <c r="QT56" s="16"/>
      <c r="QU56" s="16"/>
      <c r="QV56" s="16"/>
      <c r="QW56" s="16"/>
      <c r="QX56" s="16"/>
      <c r="QY56" s="16"/>
      <c r="QZ56" s="16"/>
      <c r="RA56" s="16"/>
      <c r="RB56" s="16"/>
      <c r="RC56" s="16"/>
      <c r="RD56" s="16"/>
      <c r="RE56" s="16"/>
      <c r="RF56" s="16"/>
      <c r="RG56" s="16"/>
      <c r="RH56" s="16"/>
      <c r="RI56" s="16"/>
      <c r="RJ56" s="16"/>
      <c r="RK56" s="16"/>
      <c r="RL56" s="16"/>
      <c r="RM56" s="16"/>
      <c r="RN56" s="16"/>
      <c r="RO56" s="16"/>
      <c r="RP56" s="16"/>
      <c r="RQ56" s="16"/>
      <c r="RR56" s="16"/>
      <c r="RS56" s="16"/>
      <c r="RT56" s="16"/>
      <c r="RU56" s="16"/>
      <c r="RV56" s="16"/>
      <c r="RW56" s="16"/>
      <c r="RX56" s="16"/>
      <c r="RY56" s="16"/>
      <c r="RZ56" s="16"/>
      <c r="SA56" s="16"/>
      <c r="SB56" s="16"/>
      <c r="SC56" s="16"/>
      <c r="SD56" s="16"/>
      <c r="SE56" s="16"/>
      <c r="SF56" s="16"/>
      <c r="SG56" s="16"/>
      <c r="SH56" s="16"/>
      <c r="SI56" s="16"/>
      <c r="SJ56" s="16"/>
      <c r="SK56" s="16"/>
      <c r="SL56" s="16"/>
      <c r="SM56" s="16"/>
      <c r="SN56" s="16"/>
      <c r="SO56" s="16"/>
      <c r="SP56" s="16"/>
      <c r="SQ56" s="16"/>
      <c r="SR56" s="16"/>
      <c r="SS56" s="16"/>
      <c r="ST56" s="16"/>
      <c r="SU56" s="16"/>
      <c r="SV56" s="16"/>
      <c r="SW56" s="16"/>
      <c r="SX56" s="16"/>
      <c r="SY56" s="16"/>
      <c r="SZ56" s="16"/>
      <c r="TA56" s="16"/>
      <c r="TB56" s="16"/>
      <c r="TC56" s="16"/>
      <c r="TD56" s="16"/>
      <c r="TE56" s="16"/>
      <c r="TF56" s="16"/>
      <c r="TG56" s="16"/>
      <c r="TH56" s="16"/>
      <c r="TI56" s="16"/>
      <c r="TJ56" s="16"/>
      <c r="TK56" s="16"/>
      <c r="TL56" s="16"/>
      <c r="TM56" s="16"/>
      <c r="TN56" s="16"/>
      <c r="TO56" s="16"/>
      <c r="TP56" s="16"/>
      <c r="TQ56" s="16"/>
      <c r="TR56" s="16"/>
      <c r="TS56" s="16"/>
      <c r="TT56" s="16"/>
      <c r="TU56" s="16"/>
      <c r="TV56" s="16"/>
      <c r="TW56" s="16"/>
      <c r="TX56" s="16"/>
      <c r="TY56" s="16"/>
      <c r="TZ56" s="16"/>
      <c r="UA56" s="16"/>
      <c r="UB56" s="16"/>
      <c r="UC56" s="16"/>
      <c r="UD56" s="16"/>
      <c r="UE56" s="16"/>
      <c r="UF56" s="16"/>
      <c r="UG56" s="16"/>
      <c r="UH56" s="16"/>
      <c r="UI56" s="16"/>
      <c r="UJ56" s="16"/>
      <c r="UK56" s="16"/>
      <c r="UL56" s="16"/>
      <c r="UM56" s="16"/>
      <c r="UN56" s="16"/>
      <c r="UO56" s="16"/>
      <c r="UP56" s="16"/>
      <c r="UQ56" s="16"/>
      <c r="UR56" s="16"/>
      <c r="US56" s="16"/>
      <c r="UT56" s="16"/>
      <c r="UU56" s="16"/>
      <c r="UV56" s="16"/>
      <c r="UW56" s="16"/>
      <c r="UX56" s="16"/>
      <c r="UY56" s="16"/>
      <c r="UZ56" s="16"/>
      <c r="VA56" s="16"/>
      <c r="VB56" s="16"/>
      <c r="VC56" s="16"/>
      <c r="VD56" s="16"/>
      <c r="VE56" s="16"/>
      <c r="VF56" s="16"/>
      <c r="VG56" s="16"/>
      <c r="VH56" s="16"/>
      <c r="VI56" s="16"/>
      <c r="VJ56" s="16"/>
      <c r="VK56" s="16"/>
      <c r="VL56" s="16"/>
      <c r="VM56" s="16"/>
      <c r="VN56" s="16"/>
      <c r="VO56" s="16"/>
      <c r="VP56" s="16"/>
      <c r="VQ56" s="16"/>
      <c r="VR56" s="16"/>
      <c r="VS56" s="16"/>
      <c r="VT56" s="16"/>
      <c r="VU56" s="16"/>
      <c r="VV56" s="16"/>
      <c r="VW56" s="16"/>
      <c r="VX56" s="16"/>
      <c r="VY56" s="16"/>
      <c r="VZ56" s="16"/>
      <c r="WA56" s="16"/>
      <c r="WB56" s="16"/>
      <c r="WC56" s="16"/>
      <c r="WD56" s="16"/>
      <c r="WE56" s="16"/>
      <c r="WF56" s="16"/>
      <c r="WG56" s="16"/>
      <c r="WH56" s="16"/>
      <c r="WI56" s="16"/>
      <c r="WJ56" s="16"/>
      <c r="WK56" s="16"/>
      <c r="WL56" s="16"/>
      <c r="WM56" s="16"/>
      <c r="WN56" s="16"/>
      <c r="WO56" s="16"/>
      <c r="WP56" s="16"/>
      <c r="WQ56" s="16"/>
      <c r="WR56" s="16"/>
      <c r="WS56" s="16"/>
      <c r="WT56" s="16"/>
      <c r="WU56" s="16"/>
      <c r="WV56" s="16"/>
      <c r="WW56" s="16"/>
      <c r="WX56" s="16"/>
      <c r="WY56" s="16"/>
      <c r="WZ56" s="16"/>
      <c r="XA56" s="16"/>
      <c r="XB56" s="16"/>
      <c r="XC56" s="16"/>
      <c r="XD56" s="16"/>
      <c r="XE56" s="16"/>
      <c r="XF56" s="16"/>
      <c r="XG56" s="16"/>
      <c r="XH56" s="16"/>
      <c r="XI56" s="16"/>
      <c r="XJ56" s="16"/>
      <c r="XK56" s="16"/>
      <c r="XL56" s="16"/>
      <c r="XM56" s="16"/>
      <c r="XN56" s="16"/>
      <c r="XO56" s="16"/>
      <c r="XP56" s="16"/>
      <c r="XQ56" s="16"/>
      <c r="XR56" s="16"/>
      <c r="XS56" s="16"/>
      <c r="XT56" s="16"/>
      <c r="XU56" s="16"/>
      <c r="XV56" s="16"/>
      <c r="XW56" s="16"/>
      <c r="XX56" s="16"/>
      <c r="XY56" s="16"/>
      <c r="XZ56" s="16"/>
      <c r="YA56" s="16"/>
      <c r="YB56" s="16"/>
      <c r="YC56" s="16"/>
      <c r="YD56" s="16"/>
      <c r="YE56" s="16"/>
      <c r="YF56" s="16"/>
      <c r="YG56" s="16"/>
      <c r="YH56" s="16"/>
      <c r="YI56" s="16"/>
      <c r="YJ56" s="16"/>
      <c r="YK56" s="16"/>
      <c r="YL56" s="16"/>
      <c r="YM56" s="16"/>
      <c r="YN56" s="16"/>
      <c r="YO56" s="16"/>
      <c r="YP56" s="16"/>
      <c r="YQ56" s="16"/>
      <c r="YR56" s="16"/>
      <c r="YS56" s="16"/>
      <c r="YT56" s="16"/>
      <c r="YU56" s="16"/>
      <c r="YV56" s="16"/>
      <c r="YW56" s="16"/>
      <c r="YX56" s="16"/>
      <c r="YY56" s="16"/>
      <c r="YZ56" s="16"/>
      <c r="ZA56" s="16"/>
      <c r="ZB56" s="16"/>
      <c r="ZC56" s="16"/>
      <c r="ZD56" s="16"/>
      <c r="ZE56" s="16"/>
      <c r="ZF56" s="16"/>
      <c r="ZG56" s="16"/>
      <c r="ZH56" s="16"/>
      <c r="ZI56" s="16"/>
      <c r="ZJ56" s="16"/>
      <c r="ZK56" s="16"/>
      <c r="ZL56" s="16"/>
      <c r="ZM56" s="16"/>
      <c r="ZN56" s="16"/>
      <c r="ZO56" s="16"/>
      <c r="ZP56" s="16"/>
      <c r="ZQ56" s="16"/>
      <c r="ZR56" s="16"/>
      <c r="ZS56" s="16"/>
      <c r="ZT56" s="16"/>
      <c r="ZU56" s="16"/>
      <c r="ZV56" s="16"/>
      <c r="ZW56" s="16"/>
      <c r="ZX56" s="16"/>
      <c r="ZY56" s="16"/>
      <c r="ZZ56" s="16"/>
      <c r="AAA56" s="16"/>
      <c r="AAB56" s="16"/>
      <c r="AAC56" s="16"/>
      <c r="AAD56" s="16"/>
      <c r="AAE56" s="16"/>
      <c r="AAF56" s="16"/>
      <c r="AAG56" s="16"/>
      <c r="AAH56" s="16"/>
      <c r="AAI56" s="16"/>
      <c r="AAJ56" s="16"/>
      <c r="AAK56" s="16"/>
      <c r="AAL56" s="16"/>
      <c r="AAM56" s="16"/>
      <c r="AAN56" s="16"/>
      <c r="AAO56" s="16"/>
      <c r="AAP56" s="16"/>
      <c r="AAQ56" s="16"/>
      <c r="AAR56" s="16"/>
      <c r="AAS56" s="16"/>
      <c r="AAT56" s="16"/>
      <c r="AAU56" s="16"/>
      <c r="AAV56" s="16"/>
      <c r="AAW56" s="16"/>
      <c r="AAX56" s="16"/>
      <c r="AAY56" s="16"/>
      <c r="AAZ56" s="16"/>
      <c r="ABA56" s="16"/>
      <c r="ABB56" s="16"/>
      <c r="ABC56" s="16"/>
      <c r="ABD56" s="16"/>
      <c r="ABE56" s="16"/>
      <c r="ABF56" s="16"/>
      <c r="ABG56" s="16"/>
      <c r="ABH56" s="16"/>
      <c r="ABI56" s="16"/>
      <c r="ABJ56" s="16"/>
      <c r="ABK56" s="16"/>
      <c r="ABL56" s="16"/>
      <c r="ABM56" s="16"/>
      <c r="ABN56" s="16"/>
      <c r="ABO56" s="16"/>
      <c r="ABP56" s="16"/>
      <c r="ABQ56" s="16"/>
      <c r="ABR56" s="16"/>
      <c r="ABS56" s="16"/>
      <c r="ABT56" s="16"/>
      <c r="ABU56" s="16"/>
      <c r="ABV56" s="16"/>
      <c r="ABW56" s="16"/>
      <c r="ABX56" s="16"/>
      <c r="ABY56" s="16"/>
      <c r="ABZ56" s="16"/>
      <c r="ACA56" s="16"/>
      <c r="ACB56" s="16"/>
      <c r="ACC56" s="16"/>
      <c r="ACD56" s="16"/>
      <c r="ACE56" s="16"/>
      <c r="ACF56" s="16"/>
      <c r="ACG56" s="16"/>
      <c r="ACH56" s="16"/>
      <c r="ACI56" s="16"/>
      <c r="ACJ56" s="16"/>
      <c r="ACK56" s="16"/>
      <c r="ACL56" s="16"/>
      <c r="ACM56" s="16"/>
      <c r="ACN56" s="16"/>
      <c r="ACO56" s="16"/>
      <c r="ACP56" s="16"/>
      <c r="ACQ56" s="16"/>
      <c r="ACR56" s="16"/>
      <c r="ACS56" s="16"/>
      <c r="ACT56" s="16"/>
      <c r="ACU56" s="16"/>
      <c r="ACV56" s="16"/>
      <c r="ACW56" s="16"/>
      <c r="ACX56" s="16"/>
      <c r="ACY56" s="16"/>
      <c r="ACZ56" s="16"/>
      <c r="ADA56" s="16"/>
      <c r="ADB56" s="16"/>
      <c r="ADC56" s="16"/>
      <c r="ADD56" s="16"/>
      <c r="ADE56" s="16"/>
      <c r="ADF56" s="16"/>
      <c r="ADG56" s="16"/>
      <c r="ADH56" s="16"/>
      <c r="ADI56" s="16"/>
      <c r="ADJ56" s="16"/>
      <c r="ADK56" s="16"/>
      <c r="ADL56" s="16"/>
      <c r="ADM56" s="16"/>
      <c r="ADN56" s="16"/>
      <c r="ADO56" s="16"/>
      <c r="ADP56" s="16"/>
      <c r="ADQ56" s="16"/>
      <c r="ADR56" s="16"/>
      <c r="ADS56" s="16"/>
      <c r="ADT56" s="16"/>
      <c r="ADU56" s="16"/>
      <c r="ADV56" s="16"/>
      <c r="ADW56" s="16"/>
      <c r="ADX56" s="16"/>
      <c r="ADY56" s="16"/>
      <c r="ADZ56" s="16"/>
      <c r="AEA56" s="16"/>
      <c r="AEB56" s="16"/>
      <c r="AEC56" s="16"/>
      <c r="AED56" s="16"/>
      <c r="AEE56" s="16"/>
      <c r="AEF56" s="16"/>
      <c r="AEG56" s="16"/>
      <c r="AEH56" s="16"/>
      <c r="AEI56" s="16"/>
      <c r="AEJ56" s="16"/>
      <c r="AEK56" s="16"/>
      <c r="AEL56" s="16"/>
      <c r="AEM56" s="16"/>
      <c r="AEN56" s="16"/>
      <c r="AEO56" s="16"/>
      <c r="AEP56" s="16"/>
      <c r="AEQ56" s="16"/>
      <c r="AER56" s="16"/>
      <c r="AES56" s="16"/>
      <c r="AET56" s="16"/>
      <c r="AEU56" s="16"/>
      <c r="AEV56" s="16"/>
      <c r="AEW56" s="16"/>
      <c r="AEX56" s="16"/>
      <c r="AEY56" s="16"/>
      <c r="AEZ56" s="16"/>
      <c r="AFA56" s="16"/>
      <c r="AFB56" s="16"/>
      <c r="AFC56" s="16"/>
      <c r="AFD56" s="16"/>
      <c r="AFE56" s="16"/>
      <c r="AFF56" s="16"/>
      <c r="AFG56" s="16"/>
      <c r="AFH56" s="16"/>
      <c r="AFI56" s="16"/>
      <c r="AFJ56" s="16"/>
      <c r="AFK56" s="16"/>
      <c r="AFL56" s="16"/>
      <c r="AFM56" s="16"/>
      <c r="AFN56" s="16"/>
      <c r="AFO56" s="16"/>
      <c r="AFP56" s="16"/>
      <c r="AFQ56" s="16"/>
      <c r="AFR56" s="16"/>
      <c r="AFS56" s="16"/>
      <c r="AFT56" s="16"/>
      <c r="AFU56" s="16"/>
      <c r="AFV56" s="16"/>
      <c r="AFW56" s="16"/>
      <c r="AFX56" s="16"/>
      <c r="AFY56" s="16"/>
      <c r="AFZ56" s="16"/>
      <c r="AGA56" s="16"/>
      <c r="AGB56" s="16"/>
      <c r="AGC56" s="16"/>
      <c r="AGD56" s="16"/>
      <c r="AGE56" s="16"/>
      <c r="AGF56" s="16"/>
    </row>
    <row r="57" spans="1:864" s="6" customFormat="1">
      <c r="A57" s="151" t="s">
        <v>385</v>
      </c>
      <c r="B57" s="34" t="s">
        <v>286</v>
      </c>
      <c r="C57" s="40" t="s">
        <v>139</v>
      </c>
      <c r="D57" s="34" t="s">
        <v>139</v>
      </c>
      <c r="E57" s="257">
        <v>0.78343949044585992</v>
      </c>
      <c r="F57" s="232">
        <v>2</v>
      </c>
      <c r="G57" s="40" t="s">
        <v>403</v>
      </c>
      <c r="H57" s="29">
        <v>2</v>
      </c>
      <c r="I57" s="9"/>
      <c r="J57" s="9">
        <v>2</v>
      </c>
      <c r="K57" s="9">
        <v>3</v>
      </c>
      <c r="L57" s="9">
        <v>3</v>
      </c>
      <c r="M57" s="9">
        <v>1</v>
      </c>
      <c r="N57" s="185">
        <f t="shared" si="1"/>
        <v>0.51126068492676302</v>
      </c>
      <c r="O57" s="159" t="str">
        <f t="shared" si="2"/>
        <v/>
      </c>
      <c r="P57" s="63"/>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row>
    <row r="58" spans="1:864" s="6" customFormat="1">
      <c r="A58" s="151" t="s">
        <v>385</v>
      </c>
      <c r="B58" s="34" t="s">
        <v>286</v>
      </c>
      <c r="C58" s="40" t="s">
        <v>139</v>
      </c>
      <c r="D58" s="34" t="s">
        <v>139</v>
      </c>
      <c r="E58" s="257">
        <v>0.91509433962264153</v>
      </c>
      <c r="F58" s="232">
        <v>2</v>
      </c>
      <c r="G58" s="40" t="s">
        <v>404</v>
      </c>
      <c r="H58" s="29">
        <v>2</v>
      </c>
      <c r="I58" s="9"/>
      <c r="J58" s="9">
        <v>2</v>
      </c>
      <c r="K58" s="9">
        <v>3</v>
      </c>
      <c r="L58" s="9">
        <v>3</v>
      </c>
      <c r="M58" s="9">
        <v>1</v>
      </c>
      <c r="N58" s="185">
        <f t="shared" si="1"/>
        <v>0.51126068492676302</v>
      </c>
      <c r="O58" s="159" t="str">
        <f t="shared" si="2"/>
        <v/>
      </c>
      <c r="P58" s="63" t="s">
        <v>406</v>
      </c>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row>
    <row r="59" spans="1:864" s="6" customFormat="1">
      <c r="A59" s="151" t="s">
        <v>385</v>
      </c>
      <c r="B59" s="34" t="s">
        <v>286</v>
      </c>
      <c r="C59" s="40" t="s">
        <v>139</v>
      </c>
      <c r="D59" s="34" t="s">
        <v>139</v>
      </c>
      <c r="E59" s="257">
        <v>0.97399999999999998</v>
      </c>
      <c r="F59" s="232">
        <v>2</v>
      </c>
      <c r="G59" s="40" t="s">
        <v>293</v>
      </c>
      <c r="H59" s="29">
        <v>2</v>
      </c>
      <c r="I59" s="9"/>
      <c r="J59" s="9">
        <v>2</v>
      </c>
      <c r="K59" s="9">
        <v>3</v>
      </c>
      <c r="L59" s="9">
        <v>3</v>
      </c>
      <c r="M59" s="9">
        <v>1</v>
      </c>
      <c r="N59" s="185">
        <f t="shared" si="1"/>
        <v>0.51126068492676302</v>
      </c>
      <c r="O59" s="159" t="str">
        <f t="shared" si="2"/>
        <v/>
      </c>
      <c r="P59" s="63"/>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row>
    <row r="60" spans="1:864" s="6" customFormat="1">
      <c r="A60" s="151" t="s">
        <v>385</v>
      </c>
      <c r="B60" s="34" t="s">
        <v>286</v>
      </c>
      <c r="C60" s="40" t="s">
        <v>139</v>
      </c>
      <c r="D60" s="34" t="s">
        <v>139</v>
      </c>
      <c r="E60" s="257">
        <v>0.98399999999999999</v>
      </c>
      <c r="F60" s="232">
        <v>2</v>
      </c>
      <c r="G60" s="40" t="s">
        <v>293</v>
      </c>
      <c r="H60" s="29">
        <v>2</v>
      </c>
      <c r="I60" s="9"/>
      <c r="J60" s="9">
        <v>2</v>
      </c>
      <c r="K60" s="9">
        <v>3</v>
      </c>
      <c r="L60" s="9">
        <v>3</v>
      </c>
      <c r="M60" s="9">
        <v>1</v>
      </c>
      <c r="N60" s="185">
        <f t="shared" si="1"/>
        <v>0.51126068492676302</v>
      </c>
      <c r="O60" s="159" t="str">
        <f t="shared" si="2"/>
        <v/>
      </c>
      <c r="P60" s="63"/>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row>
    <row r="61" spans="1:864" s="6" customFormat="1">
      <c r="A61" s="151" t="s">
        <v>385</v>
      </c>
      <c r="B61" s="34" t="s">
        <v>286</v>
      </c>
      <c r="C61" s="40" t="s">
        <v>139</v>
      </c>
      <c r="D61" s="34" t="s">
        <v>139</v>
      </c>
      <c r="E61" s="257">
        <v>0.68936446173800259</v>
      </c>
      <c r="F61" s="232">
        <v>2</v>
      </c>
      <c r="G61" s="40" t="s">
        <v>295</v>
      </c>
      <c r="H61" s="29">
        <v>2</v>
      </c>
      <c r="I61" s="9"/>
      <c r="J61" s="9">
        <v>2</v>
      </c>
      <c r="K61" s="9">
        <v>3</v>
      </c>
      <c r="L61" s="9">
        <v>3</v>
      </c>
      <c r="M61" s="9">
        <v>1</v>
      </c>
      <c r="N61" s="185">
        <f t="shared" si="1"/>
        <v>0.51126068492676302</v>
      </c>
      <c r="O61" s="159" t="str">
        <f t="shared" si="2"/>
        <v/>
      </c>
      <c r="P61" s="63" t="s">
        <v>407</v>
      </c>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row>
    <row r="62" spans="1:864" s="6" customFormat="1">
      <c r="A62" s="151" t="s">
        <v>401</v>
      </c>
      <c r="B62" s="34" t="s">
        <v>286</v>
      </c>
      <c r="C62" s="40" t="s">
        <v>139</v>
      </c>
      <c r="D62" s="34" t="s">
        <v>139</v>
      </c>
      <c r="E62" s="257">
        <v>0.72974745818301079</v>
      </c>
      <c r="F62" s="232">
        <v>2</v>
      </c>
      <c r="G62" s="40" t="s">
        <v>289</v>
      </c>
      <c r="H62" s="29">
        <v>2</v>
      </c>
      <c r="I62" s="9"/>
      <c r="J62" s="9">
        <v>2</v>
      </c>
      <c r="K62" s="9">
        <v>3</v>
      </c>
      <c r="L62" s="9">
        <v>3</v>
      </c>
      <c r="M62" s="9">
        <v>1</v>
      </c>
      <c r="N62" s="185">
        <f t="shared" si="1"/>
        <v>0.51126068492676302</v>
      </c>
      <c r="O62" s="159" t="str">
        <f t="shared" si="2"/>
        <v/>
      </c>
      <c r="P62" s="63" t="s">
        <v>408</v>
      </c>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6"/>
      <c r="HI62" s="16"/>
      <c r="HJ62" s="16"/>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c r="MI62" s="16"/>
      <c r="MJ62" s="16"/>
      <c r="MK62" s="16"/>
      <c r="ML62" s="16"/>
      <c r="MM62" s="16"/>
      <c r="MN62" s="16"/>
      <c r="MO62" s="16"/>
      <c r="MP62" s="16"/>
      <c r="MQ62" s="16"/>
      <c r="MR62" s="16"/>
      <c r="MS62" s="16"/>
      <c r="MT62" s="16"/>
      <c r="MU62" s="16"/>
      <c r="MV62" s="16"/>
      <c r="MW62" s="16"/>
      <c r="MX62" s="16"/>
      <c r="MY62" s="16"/>
      <c r="MZ62" s="16"/>
      <c r="NA62" s="16"/>
      <c r="NB62" s="16"/>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c r="OP62" s="16"/>
      <c r="OQ62" s="16"/>
      <c r="OR62" s="16"/>
      <c r="OS62" s="16"/>
      <c r="OT62" s="16"/>
      <c r="OU62" s="16"/>
      <c r="OV62" s="16"/>
      <c r="OW62" s="16"/>
      <c r="OX62" s="16"/>
      <c r="OY62" s="16"/>
      <c r="OZ62" s="16"/>
      <c r="PA62" s="16"/>
      <c r="PB62" s="16"/>
      <c r="PC62" s="16"/>
      <c r="PD62" s="16"/>
      <c r="PE62" s="16"/>
      <c r="PF62" s="16"/>
      <c r="PG62" s="16"/>
      <c r="PH62" s="16"/>
      <c r="PI62" s="16"/>
      <c r="PJ62" s="16"/>
      <c r="PK62" s="16"/>
      <c r="PL62" s="16"/>
      <c r="PM62" s="16"/>
      <c r="PN62" s="16"/>
      <c r="PO62" s="16"/>
      <c r="PP62" s="16"/>
      <c r="PQ62" s="16"/>
      <c r="PR62" s="16"/>
      <c r="PS62" s="16"/>
      <c r="PT62" s="16"/>
      <c r="PU62" s="16"/>
      <c r="PV62" s="16"/>
      <c r="PW62" s="16"/>
      <c r="PX62" s="16"/>
      <c r="PY62" s="16"/>
      <c r="PZ62" s="16"/>
      <c r="QA62" s="16"/>
      <c r="QB62" s="16"/>
      <c r="QC62" s="16"/>
      <c r="QD62" s="16"/>
      <c r="QE62" s="16"/>
      <c r="QF62" s="16"/>
      <c r="QG62" s="16"/>
      <c r="QH62" s="16"/>
      <c r="QI62" s="16"/>
      <c r="QJ62" s="16"/>
      <c r="QK62" s="16"/>
      <c r="QL62" s="16"/>
      <c r="QM62" s="16"/>
      <c r="QN62" s="16"/>
      <c r="QO62" s="16"/>
      <c r="QP62" s="16"/>
      <c r="QQ62" s="16"/>
      <c r="QR62" s="16"/>
      <c r="QS62" s="16"/>
      <c r="QT62" s="16"/>
      <c r="QU62" s="16"/>
      <c r="QV62" s="16"/>
      <c r="QW62" s="16"/>
      <c r="QX62" s="16"/>
      <c r="QY62" s="16"/>
      <c r="QZ62" s="16"/>
      <c r="RA62" s="16"/>
      <c r="RB62" s="16"/>
      <c r="RC62" s="16"/>
      <c r="RD62" s="16"/>
      <c r="RE62" s="16"/>
      <c r="RF62" s="16"/>
      <c r="RG62" s="16"/>
      <c r="RH62" s="16"/>
      <c r="RI62" s="16"/>
      <c r="RJ62" s="16"/>
      <c r="RK62" s="16"/>
      <c r="RL62" s="16"/>
      <c r="RM62" s="16"/>
      <c r="RN62" s="16"/>
      <c r="RO62" s="16"/>
      <c r="RP62" s="16"/>
      <c r="RQ62" s="16"/>
      <c r="RR62" s="16"/>
      <c r="RS62" s="16"/>
      <c r="RT62" s="16"/>
      <c r="RU62" s="16"/>
      <c r="RV62" s="16"/>
      <c r="RW62" s="16"/>
      <c r="RX62" s="16"/>
      <c r="RY62" s="16"/>
      <c r="RZ62" s="16"/>
      <c r="SA62" s="16"/>
      <c r="SB62" s="16"/>
      <c r="SC62" s="16"/>
      <c r="SD62" s="16"/>
      <c r="SE62" s="16"/>
      <c r="SF62" s="16"/>
      <c r="SG62" s="16"/>
      <c r="SH62" s="16"/>
      <c r="SI62" s="16"/>
      <c r="SJ62" s="16"/>
      <c r="SK62" s="16"/>
      <c r="SL62" s="16"/>
      <c r="SM62" s="16"/>
      <c r="SN62" s="16"/>
      <c r="SO62" s="16"/>
      <c r="SP62" s="16"/>
      <c r="SQ62" s="16"/>
      <c r="SR62" s="16"/>
      <c r="SS62" s="16"/>
      <c r="ST62" s="16"/>
      <c r="SU62" s="16"/>
      <c r="SV62" s="16"/>
      <c r="SW62" s="16"/>
      <c r="SX62" s="16"/>
      <c r="SY62" s="16"/>
      <c r="SZ62" s="16"/>
      <c r="TA62" s="16"/>
      <c r="TB62" s="16"/>
      <c r="TC62" s="16"/>
      <c r="TD62" s="16"/>
      <c r="TE62" s="16"/>
      <c r="TF62" s="16"/>
      <c r="TG62" s="16"/>
      <c r="TH62" s="16"/>
      <c r="TI62" s="16"/>
      <c r="TJ62" s="16"/>
      <c r="TK62" s="16"/>
      <c r="TL62" s="16"/>
      <c r="TM62" s="16"/>
      <c r="TN62" s="16"/>
      <c r="TO62" s="16"/>
      <c r="TP62" s="16"/>
      <c r="TQ62" s="16"/>
      <c r="TR62" s="16"/>
      <c r="TS62" s="16"/>
      <c r="TT62" s="16"/>
      <c r="TU62" s="16"/>
      <c r="TV62" s="16"/>
      <c r="TW62" s="16"/>
      <c r="TX62" s="16"/>
      <c r="TY62" s="16"/>
      <c r="TZ62" s="16"/>
      <c r="UA62" s="16"/>
      <c r="UB62" s="16"/>
      <c r="UC62" s="16"/>
      <c r="UD62" s="16"/>
      <c r="UE62" s="16"/>
      <c r="UF62" s="16"/>
      <c r="UG62" s="16"/>
      <c r="UH62" s="16"/>
      <c r="UI62" s="16"/>
      <c r="UJ62" s="16"/>
      <c r="UK62" s="16"/>
      <c r="UL62" s="16"/>
      <c r="UM62" s="16"/>
      <c r="UN62" s="16"/>
      <c r="UO62" s="16"/>
      <c r="UP62" s="16"/>
      <c r="UQ62" s="16"/>
      <c r="UR62" s="16"/>
      <c r="US62" s="16"/>
      <c r="UT62" s="16"/>
      <c r="UU62" s="16"/>
      <c r="UV62" s="16"/>
      <c r="UW62" s="16"/>
      <c r="UX62" s="16"/>
      <c r="UY62" s="16"/>
      <c r="UZ62" s="16"/>
      <c r="VA62" s="16"/>
      <c r="VB62" s="16"/>
      <c r="VC62" s="16"/>
      <c r="VD62" s="16"/>
      <c r="VE62" s="16"/>
      <c r="VF62" s="16"/>
      <c r="VG62" s="16"/>
      <c r="VH62" s="16"/>
      <c r="VI62" s="16"/>
      <c r="VJ62" s="16"/>
      <c r="VK62" s="16"/>
      <c r="VL62" s="16"/>
      <c r="VM62" s="16"/>
      <c r="VN62" s="16"/>
      <c r="VO62" s="16"/>
      <c r="VP62" s="16"/>
      <c r="VQ62" s="16"/>
      <c r="VR62" s="16"/>
      <c r="VS62" s="16"/>
      <c r="VT62" s="16"/>
      <c r="VU62" s="16"/>
      <c r="VV62" s="16"/>
      <c r="VW62" s="16"/>
      <c r="VX62" s="16"/>
      <c r="VY62" s="16"/>
      <c r="VZ62" s="16"/>
      <c r="WA62" s="16"/>
      <c r="WB62" s="16"/>
      <c r="WC62" s="16"/>
      <c r="WD62" s="16"/>
      <c r="WE62" s="16"/>
      <c r="WF62" s="16"/>
      <c r="WG62" s="16"/>
      <c r="WH62" s="16"/>
      <c r="WI62" s="16"/>
      <c r="WJ62" s="16"/>
      <c r="WK62" s="16"/>
      <c r="WL62" s="16"/>
      <c r="WM62" s="16"/>
      <c r="WN62" s="16"/>
      <c r="WO62" s="16"/>
      <c r="WP62" s="16"/>
      <c r="WQ62" s="16"/>
      <c r="WR62" s="16"/>
      <c r="WS62" s="16"/>
      <c r="WT62" s="16"/>
      <c r="WU62" s="16"/>
      <c r="WV62" s="16"/>
      <c r="WW62" s="16"/>
      <c r="WX62" s="16"/>
      <c r="WY62" s="16"/>
      <c r="WZ62" s="16"/>
      <c r="XA62" s="16"/>
      <c r="XB62" s="16"/>
      <c r="XC62" s="16"/>
      <c r="XD62" s="16"/>
      <c r="XE62" s="16"/>
      <c r="XF62" s="16"/>
      <c r="XG62" s="16"/>
      <c r="XH62" s="16"/>
      <c r="XI62" s="16"/>
      <c r="XJ62" s="16"/>
      <c r="XK62" s="16"/>
      <c r="XL62" s="16"/>
      <c r="XM62" s="16"/>
      <c r="XN62" s="16"/>
      <c r="XO62" s="16"/>
      <c r="XP62" s="16"/>
      <c r="XQ62" s="16"/>
      <c r="XR62" s="16"/>
      <c r="XS62" s="16"/>
      <c r="XT62" s="16"/>
      <c r="XU62" s="16"/>
      <c r="XV62" s="16"/>
      <c r="XW62" s="16"/>
      <c r="XX62" s="16"/>
      <c r="XY62" s="16"/>
      <c r="XZ62" s="16"/>
      <c r="YA62" s="16"/>
      <c r="YB62" s="16"/>
      <c r="YC62" s="16"/>
      <c r="YD62" s="16"/>
      <c r="YE62" s="16"/>
      <c r="YF62" s="16"/>
      <c r="YG62" s="16"/>
      <c r="YH62" s="16"/>
      <c r="YI62" s="16"/>
      <c r="YJ62" s="16"/>
      <c r="YK62" s="16"/>
      <c r="YL62" s="16"/>
      <c r="YM62" s="16"/>
      <c r="YN62" s="16"/>
      <c r="YO62" s="16"/>
      <c r="YP62" s="16"/>
      <c r="YQ62" s="16"/>
      <c r="YR62" s="16"/>
      <c r="YS62" s="16"/>
      <c r="YT62" s="16"/>
      <c r="YU62" s="16"/>
      <c r="YV62" s="16"/>
      <c r="YW62" s="16"/>
      <c r="YX62" s="16"/>
      <c r="YY62" s="16"/>
      <c r="YZ62" s="16"/>
      <c r="ZA62" s="16"/>
      <c r="ZB62" s="16"/>
      <c r="ZC62" s="16"/>
      <c r="ZD62" s="16"/>
      <c r="ZE62" s="16"/>
      <c r="ZF62" s="16"/>
      <c r="ZG62" s="16"/>
      <c r="ZH62" s="16"/>
      <c r="ZI62" s="16"/>
      <c r="ZJ62" s="16"/>
      <c r="ZK62" s="16"/>
      <c r="ZL62" s="16"/>
      <c r="ZM62" s="16"/>
      <c r="ZN62" s="16"/>
      <c r="ZO62" s="16"/>
      <c r="ZP62" s="16"/>
      <c r="ZQ62" s="16"/>
      <c r="ZR62" s="16"/>
      <c r="ZS62" s="16"/>
      <c r="ZT62" s="16"/>
      <c r="ZU62" s="16"/>
      <c r="ZV62" s="16"/>
      <c r="ZW62" s="16"/>
      <c r="ZX62" s="16"/>
      <c r="ZY62" s="16"/>
      <c r="ZZ62" s="16"/>
      <c r="AAA62" s="16"/>
      <c r="AAB62" s="16"/>
      <c r="AAC62" s="16"/>
      <c r="AAD62" s="16"/>
      <c r="AAE62" s="16"/>
      <c r="AAF62" s="16"/>
      <c r="AAG62" s="16"/>
      <c r="AAH62" s="16"/>
      <c r="AAI62" s="16"/>
      <c r="AAJ62" s="16"/>
      <c r="AAK62" s="16"/>
      <c r="AAL62" s="16"/>
      <c r="AAM62" s="16"/>
      <c r="AAN62" s="16"/>
      <c r="AAO62" s="16"/>
      <c r="AAP62" s="16"/>
      <c r="AAQ62" s="16"/>
      <c r="AAR62" s="16"/>
      <c r="AAS62" s="16"/>
      <c r="AAT62" s="16"/>
      <c r="AAU62" s="16"/>
      <c r="AAV62" s="16"/>
      <c r="AAW62" s="16"/>
      <c r="AAX62" s="16"/>
      <c r="AAY62" s="16"/>
      <c r="AAZ62" s="16"/>
      <c r="ABA62" s="16"/>
      <c r="ABB62" s="16"/>
      <c r="ABC62" s="16"/>
      <c r="ABD62" s="16"/>
      <c r="ABE62" s="16"/>
      <c r="ABF62" s="16"/>
      <c r="ABG62" s="16"/>
      <c r="ABH62" s="16"/>
      <c r="ABI62" s="16"/>
      <c r="ABJ62" s="16"/>
      <c r="ABK62" s="16"/>
      <c r="ABL62" s="16"/>
      <c r="ABM62" s="16"/>
      <c r="ABN62" s="16"/>
      <c r="ABO62" s="16"/>
      <c r="ABP62" s="16"/>
      <c r="ABQ62" s="16"/>
      <c r="ABR62" s="16"/>
      <c r="ABS62" s="16"/>
      <c r="ABT62" s="16"/>
      <c r="ABU62" s="16"/>
      <c r="ABV62" s="16"/>
      <c r="ABW62" s="16"/>
      <c r="ABX62" s="16"/>
      <c r="ABY62" s="16"/>
      <c r="ABZ62" s="16"/>
      <c r="ACA62" s="16"/>
      <c r="ACB62" s="16"/>
      <c r="ACC62" s="16"/>
      <c r="ACD62" s="16"/>
      <c r="ACE62" s="16"/>
      <c r="ACF62" s="16"/>
      <c r="ACG62" s="16"/>
      <c r="ACH62" s="16"/>
      <c r="ACI62" s="16"/>
      <c r="ACJ62" s="16"/>
      <c r="ACK62" s="16"/>
      <c r="ACL62" s="16"/>
      <c r="ACM62" s="16"/>
      <c r="ACN62" s="16"/>
      <c r="ACO62" s="16"/>
      <c r="ACP62" s="16"/>
      <c r="ACQ62" s="16"/>
      <c r="ACR62" s="16"/>
      <c r="ACS62" s="16"/>
      <c r="ACT62" s="16"/>
      <c r="ACU62" s="16"/>
      <c r="ACV62" s="16"/>
      <c r="ACW62" s="16"/>
      <c r="ACX62" s="16"/>
      <c r="ACY62" s="16"/>
      <c r="ACZ62" s="16"/>
      <c r="ADA62" s="16"/>
      <c r="ADB62" s="16"/>
      <c r="ADC62" s="16"/>
      <c r="ADD62" s="16"/>
      <c r="ADE62" s="16"/>
      <c r="ADF62" s="16"/>
      <c r="ADG62" s="16"/>
      <c r="ADH62" s="16"/>
      <c r="ADI62" s="16"/>
      <c r="ADJ62" s="16"/>
      <c r="ADK62" s="16"/>
      <c r="ADL62" s="16"/>
      <c r="ADM62" s="16"/>
      <c r="ADN62" s="16"/>
      <c r="ADO62" s="16"/>
      <c r="ADP62" s="16"/>
      <c r="ADQ62" s="16"/>
      <c r="ADR62" s="16"/>
      <c r="ADS62" s="16"/>
      <c r="ADT62" s="16"/>
      <c r="ADU62" s="16"/>
      <c r="ADV62" s="16"/>
      <c r="ADW62" s="16"/>
      <c r="ADX62" s="16"/>
      <c r="ADY62" s="16"/>
      <c r="ADZ62" s="16"/>
      <c r="AEA62" s="16"/>
      <c r="AEB62" s="16"/>
      <c r="AEC62" s="16"/>
      <c r="AED62" s="16"/>
      <c r="AEE62" s="16"/>
      <c r="AEF62" s="16"/>
      <c r="AEG62" s="16"/>
      <c r="AEH62" s="16"/>
      <c r="AEI62" s="16"/>
      <c r="AEJ62" s="16"/>
      <c r="AEK62" s="16"/>
      <c r="AEL62" s="16"/>
      <c r="AEM62" s="16"/>
      <c r="AEN62" s="16"/>
      <c r="AEO62" s="16"/>
      <c r="AEP62" s="16"/>
      <c r="AEQ62" s="16"/>
      <c r="AER62" s="16"/>
      <c r="AES62" s="16"/>
      <c r="AET62" s="16"/>
      <c r="AEU62" s="16"/>
      <c r="AEV62" s="16"/>
      <c r="AEW62" s="16"/>
      <c r="AEX62" s="16"/>
      <c r="AEY62" s="16"/>
      <c r="AEZ62" s="16"/>
      <c r="AFA62" s="16"/>
      <c r="AFB62" s="16"/>
      <c r="AFC62" s="16"/>
      <c r="AFD62" s="16"/>
      <c r="AFE62" s="16"/>
      <c r="AFF62" s="16"/>
      <c r="AFG62" s="16"/>
      <c r="AFH62" s="16"/>
      <c r="AFI62" s="16"/>
      <c r="AFJ62" s="16"/>
      <c r="AFK62" s="16"/>
      <c r="AFL62" s="16"/>
      <c r="AFM62" s="16"/>
      <c r="AFN62" s="16"/>
      <c r="AFO62" s="16"/>
      <c r="AFP62" s="16"/>
      <c r="AFQ62" s="16"/>
      <c r="AFR62" s="16"/>
      <c r="AFS62" s="16"/>
      <c r="AFT62" s="16"/>
      <c r="AFU62" s="16"/>
      <c r="AFV62" s="16"/>
      <c r="AFW62" s="16"/>
      <c r="AFX62" s="16"/>
      <c r="AFY62" s="16"/>
      <c r="AFZ62" s="16"/>
      <c r="AGA62" s="16"/>
      <c r="AGB62" s="16"/>
      <c r="AGC62" s="16"/>
      <c r="AGD62" s="16"/>
      <c r="AGE62" s="16"/>
      <c r="AGF62" s="16"/>
    </row>
    <row r="63" spans="1:864" s="6" customFormat="1">
      <c r="A63" s="151" t="s">
        <v>401</v>
      </c>
      <c r="B63" s="34" t="s">
        <v>286</v>
      </c>
      <c r="C63" s="40" t="s">
        <v>139</v>
      </c>
      <c r="D63" s="34" t="s">
        <v>139</v>
      </c>
      <c r="E63" s="257">
        <v>7.0000000000000007E-2</v>
      </c>
      <c r="F63" s="232">
        <v>2</v>
      </c>
      <c r="G63" s="40" t="s">
        <v>293</v>
      </c>
      <c r="H63" s="29">
        <v>2</v>
      </c>
      <c r="I63" s="9"/>
      <c r="J63" s="9">
        <v>2</v>
      </c>
      <c r="K63" s="9">
        <v>3</v>
      </c>
      <c r="L63" s="9">
        <v>3</v>
      </c>
      <c r="M63" s="9">
        <v>1</v>
      </c>
      <c r="N63" s="185">
        <f t="shared" si="1"/>
        <v>0.51126068492676302</v>
      </c>
      <c r="O63" s="159" t="str">
        <f t="shared" si="2"/>
        <v/>
      </c>
      <c r="P63" s="63"/>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c r="MX63" s="16"/>
      <c r="MY63" s="16"/>
      <c r="MZ63" s="16"/>
      <c r="NA63" s="16"/>
      <c r="NB63" s="16"/>
      <c r="NC63" s="16"/>
      <c r="ND63" s="16"/>
      <c r="NE63" s="16"/>
      <c r="NF63" s="16"/>
      <c r="NG63" s="16"/>
      <c r="NH63" s="16"/>
      <c r="NI63" s="16"/>
      <c r="NJ63" s="16"/>
      <c r="NK63" s="16"/>
      <c r="NL63" s="16"/>
      <c r="NM63" s="16"/>
      <c r="NN63" s="16"/>
      <c r="NO63" s="16"/>
      <c r="NP63" s="16"/>
      <c r="NQ63" s="16"/>
      <c r="NR63" s="16"/>
      <c r="NS63" s="16"/>
      <c r="NT63" s="16"/>
      <c r="NU63" s="16"/>
      <c r="NV63" s="16"/>
      <c r="NW63" s="16"/>
      <c r="NX63" s="16"/>
      <c r="NY63" s="16"/>
      <c r="NZ63" s="16"/>
      <c r="OA63" s="16"/>
      <c r="OB63" s="16"/>
      <c r="OC63" s="16"/>
      <c r="OD63" s="16"/>
      <c r="OE63" s="16"/>
      <c r="OF63" s="16"/>
      <c r="OG63" s="16"/>
      <c r="OH63" s="16"/>
      <c r="OI63" s="16"/>
      <c r="OJ63" s="16"/>
      <c r="OK63" s="16"/>
      <c r="OL63" s="16"/>
      <c r="OM63" s="16"/>
      <c r="ON63" s="16"/>
      <c r="OO63" s="16"/>
      <c r="OP63" s="16"/>
      <c r="OQ63" s="16"/>
      <c r="OR63" s="16"/>
      <c r="OS63" s="16"/>
      <c r="OT63" s="16"/>
      <c r="OU63" s="16"/>
      <c r="OV63" s="16"/>
      <c r="OW63" s="16"/>
      <c r="OX63" s="16"/>
      <c r="OY63" s="16"/>
      <c r="OZ63" s="16"/>
      <c r="PA63" s="16"/>
      <c r="PB63" s="16"/>
      <c r="PC63" s="16"/>
      <c r="PD63" s="16"/>
      <c r="PE63" s="16"/>
      <c r="PF63" s="16"/>
      <c r="PG63" s="16"/>
      <c r="PH63" s="16"/>
      <c r="PI63" s="16"/>
      <c r="PJ63" s="16"/>
      <c r="PK63" s="16"/>
      <c r="PL63" s="16"/>
      <c r="PM63" s="16"/>
      <c r="PN63" s="16"/>
      <c r="PO63" s="16"/>
      <c r="PP63" s="16"/>
      <c r="PQ63" s="16"/>
      <c r="PR63" s="16"/>
      <c r="PS63" s="16"/>
      <c r="PT63" s="16"/>
      <c r="PU63" s="16"/>
      <c r="PV63" s="16"/>
      <c r="PW63" s="16"/>
      <c r="PX63" s="16"/>
      <c r="PY63" s="16"/>
      <c r="PZ63" s="16"/>
      <c r="QA63" s="16"/>
      <c r="QB63" s="16"/>
      <c r="QC63" s="16"/>
      <c r="QD63" s="16"/>
      <c r="QE63" s="16"/>
      <c r="QF63" s="16"/>
      <c r="QG63" s="16"/>
      <c r="QH63" s="16"/>
      <c r="QI63" s="16"/>
      <c r="QJ63" s="16"/>
      <c r="QK63" s="16"/>
      <c r="QL63" s="16"/>
      <c r="QM63" s="16"/>
      <c r="QN63" s="16"/>
      <c r="QO63" s="16"/>
      <c r="QP63" s="16"/>
      <c r="QQ63" s="16"/>
      <c r="QR63" s="16"/>
      <c r="QS63" s="16"/>
      <c r="QT63" s="16"/>
      <c r="QU63" s="16"/>
      <c r="QV63" s="16"/>
      <c r="QW63" s="16"/>
      <c r="QX63" s="16"/>
      <c r="QY63" s="16"/>
      <c r="QZ63" s="16"/>
      <c r="RA63" s="16"/>
      <c r="RB63" s="16"/>
      <c r="RC63" s="16"/>
      <c r="RD63" s="16"/>
      <c r="RE63" s="16"/>
      <c r="RF63" s="16"/>
      <c r="RG63" s="16"/>
      <c r="RH63" s="16"/>
      <c r="RI63" s="16"/>
      <c r="RJ63" s="16"/>
      <c r="RK63" s="16"/>
      <c r="RL63" s="16"/>
      <c r="RM63" s="16"/>
      <c r="RN63" s="16"/>
      <c r="RO63" s="16"/>
      <c r="RP63" s="16"/>
      <c r="RQ63" s="16"/>
      <c r="RR63" s="16"/>
      <c r="RS63" s="16"/>
      <c r="RT63" s="16"/>
      <c r="RU63" s="16"/>
      <c r="RV63" s="16"/>
      <c r="RW63" s="16"/>
      <c r="RX63" s="16"/>
      <c r="RY63" s="16"/>
      <c r="RZ63" s="16"/>
      <c r="SA63" s="16"/>
      <c r="SB63" s="16"/>
      <c r="SC63" s="16"/>
      <c r="SD63" s="16"/>
      <c r="SE63" s="16"/>
      <c r="SF63" s="16"/>
      <c r="SG63" s="16"/>
      <c r="SH63" s="16"/>
      <c r="SI63" s="16"/>
      <c r="SJ63" s="16"/>
      <c r="SK63" s="16"/>
      <c r="SL63" s="16"/>
      <c r="SM63" s="16"/>
      <c r="SN63" s="16"/>
      <c r="SO63" s="16"/>
      <c r="SP63" s="16"/>
      <c r="SQ63" s="16"/>
      <c r="SR63" s="16"/>
      <c r="SS63" s="16"/>
      <c r="ST63" s="16"/>
      <c r="SU63" s="16"/>
      <c r="SV63" s="16"/>
      <c r="SW63" s="16"/>
      <c r="SX63" s="16"/>
      <c r="SY63" s="16"/>
      <c r="SZ63" s="16"/>
      <c r="TA63" s="16"/>
      <c r="TB63" s="16"/>
      <c r="TC63" s="16"/>
      <c r="TD63" s="16"/>
      <c r="TE63" s="16"/>
      <c r="TF63" s="16"/>
      <c r="TG63" s="16"/>
      <c r="TH63" s="16"/>
      <c r="TI63" s="16"/>
      <c r="TJ63" s="16"/>
      <c r="TK63" s="16"/>
      <c r="TL63" s="16"/>
      <c r="TM63" s="16"/>
      <c r="TN63" s="16"/>
      <c r="TO63" s="16"/>
      <c r="TP63" s="16"/>
      <c r="TQ63" s="16"/>
      <c r="TR63" s="16"/>
      <c r="TS63" s="16"/>
      <c r="TT63" s="16"/>
      <c r="TU63" s="16"/>
      <c r="TV63" s="16"/>
      <c r="TW63" s="16"/>
      <c r="TX63" s="16"/>
      <c r="TY63" s="16"/>
      <c r="TZ63" s="16"/>
      <c r="UA63" s="16"/>
      <c r="UB63" s="16"/>
      <c r="UC63" s="16"/>
      <c r="UD63" s="16"/>
      <c r="UE63" s="16"/>
      <c r="UF63" s="16"/>
      <c r="UG63" s="16"/>
      <c r="UH63" s="16"/>
      <c r="UI63" s="16"/>
      <c r="UJ63" s="16"/>
      <c r="UK63" s="16"/>
      <c r="UL63" s="16"/>
      <c r="UM63" s="16"/>
      <c r="UN63" s="16"/>
      <c r="UO63" s="16"/>
      <c r="UP63" s="16"/>
      <c r="UQ63" s="16"/>
      <c r="UR63" s="16"/>
      <c r="US63" s="16"/>
      <c r="UT63" s="16"/>
      <c r="UU63" s="16"/>
      <c r="UV63" s="16"/>
      <c r="UW63" s="16"/>
      <c r="UX63" s="16"/>
      <c r="UY63" s="16"/>
      <c r="UZ63" s="16"/>
      <c r="VA63" s="16"/>
      <c r="VB63" s="16"/>
      <c r="VC63" s="16"/>
      <c r="VD63" s="16"/>
      <c r="VE63" s="16"/>
      <c r="VF63" s="16"/>
      <c r="VG63" s="16"/>
      <c r="VH63" s="16"/>
      <c r="VI63" s="16"/>
      <c r="VJ63" s="16"/>
      <c r="VK63" s="16"/>
      <c r="VL63" s="16"/>
      <c r="VM63" s="16"/>
      <c r="VN63" s="16"/>
      <c r="VO63" s="16"/>
      <c r="VP63" s="16"/>
      <c r="VQ63" s="16"/>
      <c r="VR63" s="16"/>
      <c r="VS63" s="16"/>
      <c r="VT63" s="16"/>
      <c r="VU63" s="16"/>
      <c r="VV63" s="16"/>
      <c r="VW63" s="16"/>
      <c r="VX63" s="16"/>
      <c r="VY63" s="16"/>
      <c r="VZ63" s="16"/>
      <c r="WA63" s="16"/>
      <c r="WB63" s="16"/>
      <c r="WC63" s="16"/>
      <c r="WD63" s="16"/>
      <c r="WE63" s="16"/>
      <c r="WF63" s="16"/>
      <c r="WG63" s="16"/>
      <c r="WH63" s="16"/>
      <c r="WI63" s="16"/>
      <c r="WJ63" s="16"/>
      <c r="WK63" s="16"/>
      <c r="WL63" s="16"/>
      <c r="WM63" s="16"/>
      <c r="WN63" s="16"/>
      <c r="WO63" s="16"/>
      <c r="WP63" s="16"/>
      <c r="WQ63" s="16"/>
      <c r="WR63" s="16"/>
      <c r="WS63" s="16"/>
      <c r="WT63" s="16"/>
      <c r="WU63" s="16"/>
      <c r="WV63" s="16"/>
      <c r="WW63" s="16"/>
      <c r="WX63" s="16"/>
      <c r="WY63" s="16"/>
      <c r="WZ63" s="16"/>
      <c r="XA63" s="16"/>
      <c r="XB63" s="16"/>
      <c r="XC63" s="16"/>
      <c r="XD63" s="16"/>
      <c r="XE63" s="16"/>
      <c r="XF63" s="16"/>
      <c r="XG63" s="16"/>
      <c r="XH63" s="16"/>
      <c r="XI63" s="16"/>
      <c r="XJ63" s="16"/>
      <c r="XK63" s="16"/>
      <c r="XL63" s="16"/>
      <c r="XM63" s="16"/>
      <c r="XN63" s="16"/>
      <c r="XO63" s="16"/>
      <c r="XP63" s="16"/>
      <c r="XQ63" s="16"/>
      <c r="XR63" s="16"/>
      <c r="XS63" s="16"/>
      <c r="XT63" s="16"/>
      <c r="XU63" s="16"/>
      <c r="XV63" s="16"/>
      <c r="XW63" s="16"/>
      <c r="XX63" s="16"/>
      <c r="XY63" s="16"/>
      <c r="XZ63" s="16"/>
      <c r="YA63" s="16"/>
      <c r="YB63" s="16"/>
      <c r="YC63" s="16"/>
      <c r="YD63" s="16"/>
      <c r="YE63" s="16"/>
      <c r="YF63" s="16"/>
      <c r="YG63" s="16"/>
      <c r="YH63" s="16"/>
      <c r="YI63" s="16"/>
      <c r="YJ63" s="16"/>
      <c r="YK63" s="16"/>
      <c r="YL63" s="16"/>
      <c r="YM63" s="16"/>
      <c r="YN63" s="16"/>
      <c r="YO63" s="16"/>
      <c r="YP63" s="16"/>
      <c r="YQ63" s="16"/>
      <c r="YR63" s="16"/>
      <c r="YS63" s="16"/>
      <c r="YT63" s="16"/>
      <c r="YU63" s="16"/>
      <c r="YV63" s="16"/>
      <c r="YW63" s="16"/>
      <c r="YX63" s="16"/>
      <c r="YY63" s="16"/>
      <c r="YZ63" s="16"/>
      <c r="ZA63" s="16"/>
      <c r="ZB63" s="16"/>
      <c r="ZC63" s="16"/>
      <c r="ZD63" s="16"/>
      <c r="ZE63" s="16"/>
      <c r="ZF63" s="16"/>
      <c r="ZG63" s="16"/>
      <c r="ZH63" s="16"/>
      <c r="ZI63" s="16"/>
      <c r="ZJ63" s="16"/>
      <c r="ZK63" s="16"/>
      <c r="ZL63" s="16"/>
      <c r="ZM63" s="16"/>
      <c r="ZN63" s="16"/>
      <c r="ZO63" s="16"/>
      <c r="ZP63" s="16"/>
      <c r="ZQ63" s="16"/>
      <c r="ZR63" s="16"/>
      <c r="ZS63" s="16"/>
      <c r="ZT63" s="16"/>
      <c r="ZU63" s="16"/>
      <c r="ZV63" s="16"/>
      <c r="ZW63" s="16"/>
      <c r="ZX63" s="16"/>
      <c r="ZY63" s="16"/>
      <c r="ZZ63" s="16"/>
      <c r="AAA63" s="16"/>
      <c r="AAB63" s="16"/>
      <c r="AAC63" s="16"/>
      <c r="AAD63" s="16"/>
      <c r="AAE63" s="16"/>
      <c r="AAF63" s="16"/>
      <c r="AAG63" s="16"/>
      <c r="AAH63" s="16"/>
      <c r="AAI63" s="16"/>
      <c r="AAJ63" s="16"/>
      <c r="AAK63" s="16"/>
      <c r="AAL63" s="16"/>
      <c r="AAM63" s="16"/>
      <c r="AAN63" s="16"/>
      <c r="AAO63" s="16"/>
      <c r="AAP63" s="16"/>
      <c r="AAQ63" s="16"/>
      <c r="AAR63" s="16"/>
      <c r="AAS63" s="16"/>
      <c r="AAT63" s="16"/>
      <c r="AAU63" s="16"/>
      <c r="AAV63" s="16"/>
      <c r="AAW63" s="16"/>
      <c r="AAX63" s="16"/>
      <c r="AAY63" s="16"/>
      <c r="AAZ63" s="16"/>
      <c r="ABA63" s="16"/>
      <c r="ABB63" s="16"/>
      <c r="ABC63" s="16"/>
      <c r="ABD63" s="16"/>
      <c r="ABE63" s="16"/>
      <c r="ABF63" s="16"/>
      <c r="ABG63" s="16"/>
      <c r="ABH63" s="16"/>
      <c r="ABI63" s="16"/>
      <c r="ABJ63" s="16"/>
      <c r="ABK63" s="16"/>
      <c r="ABL63" s="16"/>
      <c r="ABM63" s="16"/>
      <c r="ABN63" s="16"/>
      <c r="ABO63" s="16"/>
      <c r="ABP63" s="16"/>
      <c r="ABQ63" s="16"/>
      <c r="ABR63" s="16"/>
      <c r="ABS63" s="16"/>
      <c r="ABT63" s="16"/>
      <c r="ABU63" s="16"/>
      <c r="ABV63" s="16"/>
      <c r="ABW63" s="16"/>
      <c r="ABX63" s="16"/>
      <c r="ABY63" s="16"/>
      <c r="ABZ63" s="16"/>
      <c r="ACA63" s="16"/>
      <c r="ACB63" s="16"/>
      <c r="ACC63" s="16"/>
      <c r="ACD63" s="16"/>
      <c r="ACE63" s="16"/>
      <c r="ACF63" s="16"/>
      <c r="ACG63" s="16"/>
      <c r="ACH63" s="16"/>
      <c r="ACI63" s="16"/>
      <c r="ACJ63" s="16"/>
      <c r="ACK63" s="16"/>
      <c r="ACL63" s="16"/>
      <c r="ACM63" s="16"/>
      <c r="ACN63" s="16"/>
      <c r="ACO63" s="16"/>
      <c r="ACP63" s="16"/>
      <c r="ACQ63" s="16"/>
      <c r="ACR63" s="16"/>
      <c r="ACS63" s="16"/>
      <c r="ACT63" s="16"/>
      <c r="ACU63" s="16"/>
      <c r="ACV63" s="16"/>
      <c r="ACW63" s="16"/>
      <c r="ACX63" s="16"/>
      <c r="ACY63" s="16"/>
      <c r="ACZ63" s="16"/>
      <c r="ADA63" s="16"/>
      <c r="ADB63" s="16"/>
      <c r="ADC63" s="16"/>
      <c r="ADD63" s="16"/>
      <c r="ADE63" s="16"/>
      <c r="ADF63" s="16"/>
      <c r="ADG63" s="16"/>
      <c r="ADH63" s="16"/>
      <c r="ADI63" s="16"/>
      <c r="ADJ63" s="16"/>
      <c r="ADK63" s="16"/>
      <c r="ADL63" s="16"/>
      <c r="ADM63" s="16"/>
      <c r="ADN63" s="16"/>
      <c r="ADO63" s="16"/>
      <c r="ADP63" s="16"/>
      <c r="ADQ63" s="16"/>
      <c r="ADR63" s="16"/>
      <c r="ADS63" s="16"/>
      <c r="ADT63" s="16"/>
      <c r="ADU63" s="16"/>
      <c r="ADV63" s="16"/>
      <c r="ADW63" s="16"/>
      <c r="ADX63" s="16"/>
      <c r="ADY63" s="16"/>
      <c r="ADZ63" s="16"/>
      <c r="AEA63" s="16"/>
      <c r="AEB63" s="16"/>
      <c r="AEC63" s="16"/>
      <c r="AED63" s="16"/>
      <c r="AEE63" s="16"/>
      <c r="AEF63" s="16"/>
      <c r="AEG63" s="16"/>
      <c r="AEH63" s="16"/>
      <c r="AEI63" s="16"/>
      <c r="AEJ63" s="16"/>
      <c r="AEK63" s="16"/>
      <c r="AEL63" s="16"/>
      <c r="AEM63" s="16"/>
      <c r="AEN63" s="16"/>
      <c r="AEO63" s="16"/>
      <c r="AEP63" s="16"/>
      <c r="AEQ63" s="16"/>
      <c r="AER63" s="16"/>
      <c r="AES63" s="16"/>
      <c r="AET63" s="16"/>
      <c r="AEU63" s="16"/>
      <c r="AEV63" s="16"/>
      <c r="AEW63" s="16"/>
      <c r="AEX63" s="16"/>
      <c r="AEY63" s="16"/>
      <c r="AEZ63" s="16"/>
      <c r="AFA63" s="16"/>
      <c r="AFB63" s="16"/>
      <c r="AFC63" s="16"/>
      <c r="AFD63" s="16"/>
      <c r="AFE63" s="16"/>
      <c r="AFF63" s="16"/>
      <c r="AFG63" s="16"/>
      <c r="AFH63" s="16"/>
      <c r="AFI63" s="16"/>
      <c r="AFJ63" s="16"/>
      <c r="AFK63" s="16"/>
      <c r="AFL63" s="16"/>
      <c r="AFM63" s="16"/>
      <c r="AFN63" s="16"/>
      <c r="AFO63" s="16"/>
      <c r="AFP63" s="16"/>
      <c r="AFQ63" s="16"/>
      <c r="AFR63" s="16"/>
      <c r="AFS63" s="16"/>
      <c r="AFT63" s="16"/>
      <c r="AFU63" s="16"/>
      <c r="AFV63" s="16"/>
      <c r="AFW63" s="16"/>
      <c r="AFX63" s="16"/>
      <c r="AFY63" s="16"/>
      <c r="AFZ63" s="16"/>
      <c r="AGA63" s="16"/>
      <c r="AGB63" s="16"/>
      <c r="AGC63" s="16"/>
      <c r="AGD63" s="16"/>
      <c r="AGE63" s="16"/>
      <c r="AGF63" s="16"/>
    </row>
    <row r="64" spans="1:864" s="6" customFormat="1">
      <c r="A64" s="151" t="s">
        <v>401</v>
      </c>
      <c r="B64" s="34" t="s">
        <v>286</v>
      </c>
      <c r="C64" s="40" t="s">
        <v>139</v>
      </c>
      <c r="D64" s="34" t="s">
        <v>139</v>
      </c>
      <c r="E64" s="257">
        <v>0.2</v>
      </c>
      <c r="F64" s="232">
        <v>2</v>
      </c>
      <c r="G64" s="40" t="s">
        <v>293</v>
      </c>
      <c r="H64" s="29">
        <v>2</v>
      </c>
      <c r="I64" s="9"/>
      <c r="J64" s="9">
        <v>2</v>
      </c>
      <c r="K64" s="9">
        <v>3</v>
      </c>
      <c r="L64" s="9">
        <v>3</v>
      </c>
      <c r="M64" s="9">
        <v>1</v>
      </c>
      <c r="N64" s="185">
        <f t="shared" si="1"/>
        <v>0.51126068492676302</v>
      </c>
      <c r="O64" s="159" t="str">
        <f t="shared" si="2"/>
        <v/>
      </c>
      <c r="P64" s="63"/>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c r="MX64" s="16"/>
      <c r="MY64" s="16"/>
      <c r="MZ64" s="16"/>
      <c r="NA64" s="16"/>
      <c r="NB64" s="16"/>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c r="QE64" s="16"/>
      <c r="QF64" s="16"/>
      <c r="QG64" s="16"/>
      <c r="QH64" s="16"/>
      <c r="QI64" s="16"/>
      <c r="QJ64" s="16"/>
      <c r="QK64" s="16"/>
      <c r="QL64" s="16"/>
      <c r="QM64" s="16"/>
      <c r="QN64" s="16"/>
      <c r="QO64" s="16"/>
      <c r="QP64" s="16"/>
      <c r="QQ64" s="16"/>
      <c r="QR64" s="16"/>
      <c r="QS64" s="16"/>
      <c r="QT64" s="16"/>
      <c r="QU64" s="16"/>
      <c r="QV64" s="16"/>
      <c r="QW64" s="16"/>
      <c r="QX64" s="16"/>
      <c r="QY64" s="16"/>
      <c r="QZ64" s="16"/>
      <c r="RA64" s="16"/>
      <c r="RB64" s="16"/>
      <c r="RC64" s="16"/>
      <c r="RD64" s="16"/>
      <c r="RE64" s="16"/>
      <c r="RF64" s="16"/>
      <c r="RG64" s="16"/>
      <c r="RH64" s="16"/>
      <c r="RI64" s="16"/>
      <c r="RJ64" s="16"/>
      <c r="RK64" s="16"/>
      <c r="RL64" s="16"/>
      <c r="RM64" s="16"/>
      <c r="RN64" s="16"/>
      <c r="RO64" s="16"/>
      <c r="RP64" s="16"/>
      <c r="RQ64" s="16"/>
      <c r="RR64" s="16"/>
      <c r="RS64" s="16"/>
      <c r="RT64" s="16"/>
      <c r="RU64" s="16"/>
      <c r="RV64" s="16"/>
      <c r="RW64" s="16"/>
      <c r="RX64" s="16"/>
      <c r="RY64" s="16"/>
      <c r="RZ64" s="16"/>
      <c r="SA64" s="16"/>
      <c r="SB64" s="16"/>
      <c r="SC64" s="16"/>
      <c r="SD64" s="16"/>
      <c r="SE64" s="16"/>
      <c r="SF64" s="16"/>
      <c r="SG64" s="16"/>
      <c r="SH64" s="16"/>
      <c r="SI64" s="16"/>
      <c r="SJ64" s="16"/>
      <c r="SK64" s="16"/>
      <c r="SL64" s="16"/>
      <c r="SM64" s="16"/>
      <c r="SN64" s="16"/>
      <c r="SO64" s="16"/>
      <c r="SP64" s="16"/>
      <c r="SQ64" s="16"/>
      <c r="SR64" s="16"/>
      <c r="SS64" s="16"/>
      <c r="ST64" s="16"/>
      <c r="SU64" s="16"/>
      <c r="SV64" s="16"/>
      <c r="SW64" s="16"/>
      <c r="SX64" s="16"/>
      <c r="SY64" s="16"/>
      <c r="SZ64" s="16"/>
      <c r="TA64" s="16"/>
      <c r="TB64" s="16"/>
      <c r="TC64" s="16"/>
      <c r="TD64" s="16"/>
      <c r="TE64" s="16"/>
      <c r="TF64" s="16"/>
      <c r="TG64" s="16"/>
      <c r="TH64" s="16"/>
      <c r="TI64" s="16"/>
      <c r="TJ64" s="16"/>
      <c r="TK64" s="16"/>
      <c r="TL64" s="16"/>
      <c r="TM64" s="16"/>
      <c r="TN64" s="16"/>
      <c r="TO64" s="16"/>
      <c r="TP64" s="16"/>
      <c r="TQ64" s="16"/>
      <c r="TR64" s="16"/>
      <c r="TS64" s="16"/>
      <c r="TT64" s="16"/>
      <c r="TU64" s="16"/>
      <c r="TV64" s="16"/>
      <c r="TW64" s="16"/>
      <c r="TX64" s="16"/>
      <c r="TY64" s="16"/>
      <c r="TZ64" s="16"/>
      <c r="UA64" s="16"/>
      <c r="UB64" s="16"/>
      <c r="UC64" s="16"/>
      <c r="UD64" s="16"/>
      <c r="UE64" s="16"/>
      <c r="UF64" s="16"/>
      <c r="UG64" s="16"/>
      <c r="UH64" s="16"/>
      <c r="UI64" s="16"/>
      <c r="UJ64" s="16"/>
      <c r="UK64" s="16"/>
      <c r="UL64" s="16"/>
      <c r="UM64" s="16"/>
      <c r="UN64" s="16"/>
      <c r="UO64" s="16"/>
      <c r="UP64" s="16"/>
      <c r="UQ64" s="16"/>
      <c r="UR64" s="16"/>
      <c r="US64" s="16"/>
      <c r="UT64" s="16"/>
      <c r="UU64" s="16"/>
      <c r="UV64" s="16"/>
      <c r="UW64" s="16"/>
      <c r="UX64" s="16"/>
      <c r="UY64" s="16"/>
      <c r="UZ64" s="16"/>
      <c r="VA64" s="16"/>
      <c r="VB64" s="16"/>
      <c r="VC64" s="16"/>
      <c r="VD64" s="16"/>
      <c r="VE64" s="16"/>
      <c r="VF64" s="16"/>
      <c r="VG64" s="16"/>
      <c r="VH64" s="16"/>
      <c r="VI64" s="16"/>
      <c r="VJ64" s="16"/>
      <c r="VK64" s="16"/>
      <c r="VL64" s="16"/>
      <c r="VM64" s="16"/>
      <c r="VN64" s="16"/>
      <c r="VO64" s="16"/>
      <c r="VP64" s="16"/>
      <c r="VQ64" s="16"/>
      <c r="VR64" s="16"/>
      <c r="VS64" s="16"/>
      <c r="VT64" s="16"/>
      <c r="VU64" s="16"/>
      <c r="VV64" s="16"/>
      <c r="VW64" s="16"/>
      <c r="VX64" s="16"/>
      <c r="VY64" s="16"/>
      <c r="VZ64" s="16"/>
      <c r="WA64" s="16"/>
      <c r="WB64" s="16"/>
      <c r="WC64" s="16"/>
      <c r="WD64" s="16"/>
      <c r="WE64" s="16"/>
      <c r="WF64" s="16"/>
      <c r="WG64" s="16"/>
      <c r="WH64" s="16"/>
      <c r="WI64" s="16"/>
      <c r="WJ64" s="16"/>
      <c r="WK64" s="16"/>
      <c r="WL64" s="16"/>
      <c r="WM64" s="16"/>
      <c r="WN64" s="16"/>
      <c r="WO64" s="16"/>
      <c r="WP64" s="16"/>
      <c r="WQ64" s="16"/>
      <c r="WR64" s="16"/>
      <c r="WS64" s="16"/>
      <c r="WT64" s="16"/>
      <c r="WU64" s="16"/>
      <c r="WV64" s="16"/>
      <c r="WW64" s="16"/>
      <c r="WX64" s="16"/>
      <c r="WY64" s="16"/>
      <c r="WZ64" s="16"/>
      <c r="XA64" s="16"/>
      <c r="XB64" s="16"/>
      <c r="XC64" s="16"/>
      <c r="XD64" s="16"/>
      <c r="XE64" s="16"/>
      <c r="XF64" s="16"/>
      <c r="XG64" s="16"/>
      <c r="XH64" s="16"/>
      <c r="XI64" s="16"/>
      <c r="XJ64" s="16"/>
      <c r="XK64" s="16"/>
      <c r="XL64" s="16"/>
      <c r="XM64" s="16"/>
      <c r="XN64" s="16"/>
      <c r="XO64" s="16"/>
      <c r="XP64" s="16"/>
      <c r="XQ64" s="16"/>
      <c r="XR64" s="16"/>
      <c r="XS64" s="16"/>
      <c r="XT64" s="16"/>
      <c r="XU64" s="16"/>
      <c r="XV64" s="16"/>
      <c r="XW64" s="16"/>
      <c r="XX64" s="16"/>
      <c r="XY64" s="16"/>
      <c r="XZ64" s="16"/>
      <c r="YA64" s="16"/>
      <c r="YB64" s="16"/>
      <c r="YC64" s="16"/>
      <c r="YD64" s="16"/>
      <c r="YE64" s="16"/>
      <c r="YF64" s="16"/>
      <c r="YG64" s="16"/>
      <c r="YH64" s="16"/>
      <c r="YI64" s="16"/>
      <c r="YJ64" s="16"/>
      <c r="YK64" s="16"/>
      <c r="YL64" s="16"/>
      <c r="YM64" s="16"/>
      <c r="YN64" s="16"/>
      <c r="YO64" s="16"/>
      <c r="YP64" s="16"/>
      <c r="YQ64" s="16"/>
      <c r="YR64" s="16"/>
      <c r="YS64" s="16"/>
      <c r="YT64" s="16"/>
      <c r="YU64" s="16"/>
      <c r="YV64" s="16"/>
      <c r="YW64" s="16"/>
      <c r="YX64" s="16"/>
      <c r="YY64" s="16"/>
      <c r="YZ64" s="16"/>
      <c r="ZA64" s="16"/>
      <c r="ZB64" s="16"/>
      <c r="ZC64" s="16"/>
      <c r="ZD64" s="16"/>
      <c r="ZE64" s="16"/>
      <c r="ZF64" s="16"/>
      <c r="ZG64" s="16"/>
      <c r="ZH64" s="16"/>
      <c r="ZI64" s="16"/>
      <c r="ZJ64" s="16"/>
      <c r="ZK64" s="16"/>
      <c r="ZL64" s="16"/>
      <c r="ZM64" s="16"/>
      <c r="ZN64" s="16"/>
      <c r="ZO64" s="16"/>
      <c r="ZP64" s="16"/>
      <c r="ZQ64" s="16"/>
      <c r="ZR64" s="16"/>
      <c r="ZS64" s="16"/>
      <c r="ZT64" s="16"/>
      <c r="ZU64" s="16"/>
      <c r="ZV64" s="16"/>
      <c r="ZW64" s="16"/>
      <c r="ZX64" s="16"/>
      <c r="ZY64" s="16"/>
      <c r="ZZ64" s="16"/>
      <c r="AAA64" s="16"/>
      <c r="AAB64" s="16"/>
      <c r="AAC64" s="16"/>
      <c r="AAD64" s="16"/>
      <c r="AAE64" s="16"/>
      <c r="AAF64" s="16"/>
      <c r="AAG64" s="16"/>
      <c r="AAH64" s="16"/>
      <c r="AAI64" s="16"/>
      <c r="AAJ64" s="16"/>
      <c r="AAK64" s="16"/>
      <c r="AAL64" s="16"/>
      <c r="AAM64" s="16"/>
      <c r="AAN64" s="16"/>
      <c r="AAO64" s="16"/>
      <c r="AAP64" s="16"/>
      <c r="AAQ64" s="16"/>
      <c r="AAR64" s="16"/>
      <c r="AAS64" s="16"/>
      <c r="AAT64" s="16"/>
      <c r="AAU64" s="16"/>
      <c r="AAV64" s="16"/>
      <c r="AAW64" s="16"/>
      <c r="AAX64" s="16"/>
      <c r="AAY64" s="16"/>
      <c r="AAZ64" s="16"/>
      <c r="ABA64" s="16"/>
      <c r="ABB64" s="16"/>
      <c r="ABC64" s="16"/>
      <c r="ABD64" s="16"/>
      <c r="ABE64" s="16"/>
      <c r="ABF64" s="16"/>
      <c r="ABG64" s="16"/>
      <c r="ABH64" s="16"/>
      <c r="ABI64" s="16"/>
      <c r="ABJ64" s="16"/>
      <c r="ABK64" s="16"/>
      <c r="ABL64" s="16"/>
      <c r="ABM64" s="16"/>
      <c r="ABN64" s="16"/>
      <c r="ABO64" s="16"/>
      <c r="ABP64" s="16"/>
      <c r="ABQ64" s="16"/>
      <c r="ABR64" s="16"/>
      <c r="ABS64" s="16"/>
      <c r="ABT64" s="16"/>
      <c r="ABU64" s="16"/>
      <c r="ABV64" s="16"/>
      <c r="ABW64" s="16"/>
      <c r="ABX64" s="16"/>
      <c r="ABY64" s="16"/>
      <c r="ABZ64" s="16"/>
      <c r="ACA64" s="16"/>
      <c r="ACB64" s="16"/>
      <c r="ACC64" s="16"/>
      <c r="ACD64" s="16"/>
      <c r="ACE64" s="16"/>
      <c r="ACF64" s="16"/>
      <c r="ACG64" s="16"/>
      <c r="ACH64" s="16"/>
      <c r="ACI64" s="16"/>
      <c r="ACJ64" s="16"/>
      <c r="ACK64" s="16"/>
      <c r="ACL64" s="16"/>
      <c r="ACM64" s="16"/>
      <c r="ACN64" s="16"/>
      <c r="ACO64" s="16"/>
      <c r="ACP64" s="16"/>
      <c r="ACQ64" s="16"/>
      <c r="ACR64" s="16"/>
      <c r="ACS64" s="16"/>
      <c r="ACT64" s="16"/>
      <c r="ACU64" s="16"/>
      <c r="ACV64" s="16"/>
      <c r="ACW64" s="16"/>
      <c r="ACX64" s="16"/>
      <c r="ACY64" s="16"/>
      <c r="ACZ64" s="16"/>
      <c r="ADA64" s="16"/>
      <c r="ADB64" s="16"/>
      <c r="ADC64" s="16"/>
      <c r="ADD64" s="16"/>
      <c r="ADE64" s="16"/>
      <c r="ADF64" s="16"/>
      <c r="ADG64" s="16"/>
      <c r="ADH64" s="16"/>
      <c r="ADI64" s="16"/>
      <c r="ADJ64" s="16"/>
      <c r="ADK64" s="16"/>
      <c r="ADL64" s="16"/>
      <c r="ADM64" s="16"/>
      <c r="ADN64" s="16"/>
      <c r="ADO64" s="16"/>
      <c r="ADP64" s="16"/>
      <c r="ADQ64" s="16"/>
      <c r="ADR64" s="16"/>
      <c r="ADS64" s="16"/>
      <c r="ADT64" s="16"/>
      <c r="ADU64" s="16"/>
      <c r="ADV64" s="16"/>
      <c r="ADW64" s="16"/>
      <c r="ADX64" s="16"/>
      <c r="ADY64" s="16"/>
      <c r="ADZ64" s="16"/>
      <c r="AEA64" s="16"/>
      <c r="AEB64" s="16"/>
      <c r="AEC64" s="16"/>
      <c r="AED64" s="16"/>
      <c r="AEE64" s="16"/>
      <c r="AEF64" s="16"/>
      <c r="AEG64" s="16"/>
      <c r="AEH64" s="16"/>
      <c r="AEI64" s="16"/>
      <c r="AEJ64" s="16"/>
      <c r="AEK64" s="16"/>
      <c r="AEL64" s="16"/>
      <c r="AEM64" s="16"/>
      <c r="AEN64" s="16"/>
      <c r="AEO64" s="16"/>
      <c r="AEP64" s="16"/>
      <c r="AEQ64" s="16"/>
      <c r="AER64" s="16"/>
      <c r="AES64" s="16"/>
      <c r="AET64" s="16"/>
      <c r="AEU64" s="16"/>
      <c r="AEV64" s="16"/>
      <c r="AEW64" s="16"/>
      <c r="AEX64" s="16"/>
      <c r="AEY64" s="16"/>
      <c r="AEZ64" s="16"/>
      <c r="AFA64" s="16"/>
      <c r="AFB64" s="16"/>
      <c r="AFC64" s="16"/>
      <c r="AFD64" s="16"/>
      <c r="AFE64" s="16"/>
      <c r="AFF64" s="16"/>
      <c r="AFG64" s="16"/>
      <c r="AFH64" s="16"/>
      <c r="AFI64" s="16"/>
      <c r="AFJ64" s="16"/>
      <c r="AFK64" s="16"/>
      <c r="AFL64" s="16"/>
      <c r="AFM64" s="16"/>
      <c r="AFN64" s="16"/>
      <c r="AFO64" s="16"/>
      <c r="AFP64" s="16"/>
      <c r="AFQ64" s="16"/>
      <c r="AFR64" s="16"/>
      <c r="AFS64" s="16"/>
      <c r="AFT64" s="16"/>
      <c r="AFU64" s="16"/>
      <c r="AFV64" s="16"/>
      <c r="AFW64" s="16"/>
      <c r="AFX64" s="16"/>
      <c r="AFY64" s="16"/>
      <c r="AFZ64" s="16"/>
      <c r="AGA64" s="16"/>
      <c r="AGB64" s="16"/>
      <c r="AGC64" s="16"/>
      <c r="AGD64" s="16"/>
      <c r="AGE64" s="16"/>
      <c r="AGF64" s="16"/>
    </row>
    <row r="65" spans="1:864" s="6" customFormat="1">
      <c r="A65" s="151" t="s">
        <v>401</v>
      </c>
      <c r="B65" s="34" t="s">
        <v>286</v>
      </c>
      <c r="C65" s="40" t="s">
        <v>139</v>
      </c>
      <c r="D65" s="34" t="s">
        <v>139</v>
      </c>
      <c r="E65" s="257">
        <v>0.28601252609603334</v>
      </c>
      <c r="F65" s="232">
        <v>2</v>
      </c>
      <c r="G65" s="40" t="s">
        <v>295</v>
      </c>
      <c r="H65" s="29">
        <v>2</v>
      </c>
      <c r="I65" s="9"/>
      <c r="J65" s="9">
        <v>2</v>
      </c>
      <c r="K65" s="9">
        <v>3</v>
      </c>
      <c r="L65" s="9">
        <v>3</v>
      </c>
      <c r="M65" s="9">
        <v>1</v>
      </c>
      <c r="N65" s="185">
        <f t="shared" si="1"/>
        <v>0.51126068492676302</v>
      </c>
      <c r="O65" s="159" t="str">
        <f t="shared" si="2"/>
        <v/>
      </c>
      <c r="P65" s="63" t="s">
        <v>409</v>
      </c>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c r="MX65" s="16"/>
      <c r="MY65" s="16"/>
      <c r="MZ65" s="16"/>
      <c r="NA65" s="16"/>
      <c r="NB65" s="16"/>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c r="QE65" s="16"/>
      <c r="QF65" s="16"/>
      <c r="QG65" s="16"/>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6"/>
      <c r="TT65" s="16"/>
      <c r="TU65" s="16"/>
      <c r="TV65" s="16"/>
      <c r="TW65" s="16"/>
      <c r="TX65" s="16"/>
      <c r="TY65" s="16"/>
      <c r="TZ65" s="16"/>
      <c r="UA65" s="16"/>
      <c r="UB65" s="16"/>
      <c r="UC65" s="16"/>
      <c r="UD65" s="16"/>
      <c r="UE65" s="16"/>
      <c r="UF65" s="16"/>
      <c r="UG65" s="16"/>
      <c r="UH65" s="16"/>
      <c r="UI65" s="16"/>
      <c r="UJ65" s="16"/>
      <c r="UK65" s="16"/>
      <c r="UL65" s="16"/>
      <c r="UM65" s="16"/>
      <c r="UN65" s="16"/>
      <c r="UO65" s="16"/>
      <c r="UP65" s="16"/>
      <c r="UQ65" s="16"/>
      <c r="UR65" s="16"/>
      <c r="US65" s="16"/>
      <c r="UT65" s="16"/>
      <c r="UU65" s="16"/>
      <c r="UV65" s="16"/>
      <c r="UW65" s="16"/>
      <c r="UX65" s="16"/>
      <c r="UY65" s="16"/>
      <c r="UZ65" s="16"/>
      <c r="VA65" s="16"/>
      <c r="VB65" s="16"/>
      <c r="VC65" s="16"/>
      <c r="VD65" s="16"/>
      <c r="VE65" s="16"/>
      <c r="VF65" s="16"/>
      <c r="VG65" s="16"/>
      <c r="VH65" s="16"/>
      <c r="VI65" s="16"/>
      <c r="VJ65" s="16"/>
      <c r="VK65" s="16"/>
      <c r="VL65" s="16"/>
      <c r="VM65" s="16"/>
      <c r="VN65" s="16"/>
      <c r="VO65" s="16"/>
      <c r="VP65" s="16"/>
      <c r="VQ65" s="16"/>
      <c r="VR65" s="16"/>
      <c r="VS65" s="16"/>
      <c r="VT65" s="16"/>
      <c r="VU65" s="16"/>
      <c r="VV65" s="16"/>
      <c r="VW65" s="16"/>
      <c r="VX65" s="16"/>
      <c r="VY65" s="16"/>
      <c r="VZ65" s="16"/>
      <c r="WA65" s="16"/>
      <c r="WB65" s="16"/>
      <c r="WC65" s="16"/>
      <c r="WD65" s="16"/>
      <c r="WE65" s="16"/>
      <c r="WF65" s="16"/>
      <c r="WG65" s="16"/>
      <c r="WH65" s="16"/>
      <c r="WI65" s="16"/>
      <c r="WJ65" s="16"/>
      <c r="WK65" s="16"/>
      <c r="WL65" s="16"/>
      <c r="WM65" s="16"/>
      <c r="WN65" s="16"/>
      <c r="WO65" s="16"/>
      <c r="WP65" s="16"/>
      <c r="WQ65" s="16"/>
      <c r="WR65" s="16"/>
      <c r="WS65" s="16"/>
      <c r="WT65" s="16"/>
      <c r="WU65" s="16"/>
      <c r="WV65" s="16"/>
      <c r="WW65" s="16"/>
      <c r="WX65" s="16"/>
      <c r="WY65" s="16"/>
      <c r="WZ65" s="16"/>
      <c r="XA65" s="16"/>
      <c r="XB65" s="16"/>
      <c r="XC65" s="16"/>
      <c r="XD65" s="16"/>
      <c r="XE65" s="16"/>
      <c r="XF65" s="16"/>
      <c r="XG65" s="16"/>
      <c r="XH65" s="16"/>
      <c r="XI65" s="16"/>
      <c r="XJ65" s="16"/>
      <c r="XK65" s="16"/>
      <c r="XL65" s="16"/>
      <c r="XM65" s="16"/>
      <c r="XN65" s="16"/>
      <c r="XO65" s="16"/>
      <c r="XP65" s="16"/>
      <c r="XQ65" s="16"/>
      <c r="XR65" s="16"/>
      <c r="XS65" s="16"/>
      <c r="XT65" s="16"/>
      <c r="XU65" s="16"/>
      <c r="XV65" s="16"/>
      <c r="XW65" s="16"/>
      <c r="XX65" s="16"/>
      <c r="XY65" s="16"/>
      <c r="XZ65" s="16"/>
      <c r="YA65" s="16"/>
      <c r="YB65" s="16"/>
      <c r="YC65" s="16"/>
      <c r="YD65" s="16"/>
      <c r="YE65" s="16"/>
      <c r="YF65" s="16"/>
      <c r="YG65" s="16"/>
      <c r="YH65" s="16"/>
      <c r="YI65" s="16"/>
      <c r="YJ65" s="16"/>
      <c r="YK65" s="16"/>
      <c r="YL65" s="16"/>
      <c r="YM65" s="16"/>
      <c r="YN65" s="16"/>
      <c r="YO65" s="16"/>
      <c r="YP65" s="16"/>
      <c r="YQ65" s="16"/>
      <c r="YR65" s="16"/>
      <c r="YS65" s="16"/>
      <c r="YT65" s="16"/>
      <c r="YU65" s="16"/>
      <c r="YV65" s="16"/>
      <c r="YW65" s="16"/>
      <c r="YX65" s="16"/>
      <c r="YY65" s="16"/>
      <c r="YZ65" s="16"/>
      <c r="ZA65" s="16"/>
      <c r="ZB65" s="16"/>
      <c r="ZC65" s="16"/>
      <c r="ZD65" s="16"/>
      <c r="ZE65" s="16"/>
      <c r="ZF65" s="16"/>
      <c r="ZG65" s="16"/>
      <c r="ZH65" s="16"/>
      <c r="ZI65" s="16"/>
      <c r="ZJ65" s="16"/>
      <c r="ZK65" s="16"/>
      <c r="ZL65" s="16"/>
      <c r="ZM65" s="16"/>
      <c r="ZN65" s="16"/>
      <c r="ZO65" s="16"/>
      <c r="ZP65" s="16"/>
      <c r="ZQ65" s="16"/>
      <c r="ZR65" s="16"/>
      <c r="ZS65" s="16"/>
      <c r="ZT65" s="16"/>
      <c r="ZU65" s="16"/>
      <c r="ZV65" s="16"/>
      <c r="ZW65" s="16"/>
      <c r="ZX65" s="16"/>
      <c r="ZY65" s="16"/>
      <c r="ZZ65" s="16"/>
      <c r="AAA65" s="16"/>
      <c r="AAB65" s="16"/>
      <c r="AAC65" s="16"/>
      <c r="AAD65" s="16"/>
      <c r="AAE65" s="16"/>
      <c r="AAF65" s="16"/>
      <c r="AAG65" s="16"/>
      <c r="AAH65" s="16"/>
      <c r="AAI65" s="16"/>
      <c r="AAJ65" s="16"/>
      <c r="AAK65" s="16"/>
      <c r="AAL65" s="16"/>
      <c r="AAM65" s="16"/>
      <c r="AAN65" s="16"/>
      <c r="AAO65" s="16"/>
      <c r="AAP65" s="16"/>
      <c r="AAQ65" s="16"/>
      <c r="AAR65" s="16"/>
      <c r="AAS65" s="16"/>
      <c r="AAT65" s="16"/>
      <c r="AAU65" s="16"/>
      <c r="AAV65" s="16"/>
      <c r="AAW65" s="16"/>
      <c r="AAX65" s="16"/>
      <c r="AAY65" s="16"/>
      <c r="AAZ65" s="16"/>
      <c r="ABA65" s="16"/>
      <c r="ABB65" s="16"/>
      <c r="ABC65" s="16"/>
      <c r="ABD65" s="16"/>
      <c r="ABE65" s="16"/>
      <c r="ABF65" s="16"/>
      <c r="ABG65" s="16"/>
      <c r="ABH65" s="16"/>
      <c r="ABI65" s="16"/>
      <c r="ABJ65" s="16"/>
      <c r="ABK65" s="16"/>
      <c r="ABL65" s="16"/>
      <c r="ABM65" s="16"/>
      <c r="ABN65" s="16"/>
      <c r="ABO65" s="16"/>
      <c r="ABP65" s="16"/>
      <c r="ABQ65" s="16"/>
      <c r="ABR65" s="16"/>
      <c r="ABS65" s="16"/>
      <c r="ABT65" s="16"/>
      <c r="ABU65" s="16"/>
      <c r="ABV65" s="16"/>
      <c r="ABW65" s="16"/>
      <c r="ABX65" s="16"/>
      <c r="ABY65" s="16"/>
      <c r="ABZ65" s="16"/>
      <c r="ACA65" s="16"/>
      <c r="ACB65" s="16"/>
      <c r="ACC65" s="16"/>
      <c r="ACD65" s="16"/>
      <c r="ACE65" s="16"/>
      <c r="ACF65" s="16"/>
      <c r="ACG65" s="16"/>
      <c r="ACH65" s="16"/>
      <c r="ACI65" s="16"/>
      <c r="ACJ65" s="16"/>
      <c r="ACK65" s="16"/>
      <c r="ACL65" s="16"/>
      <c r="ACM65" s="16"/>
      <c r="ACN65" s="16"/>
      <c r="ACO65" s="16"/>
      <c r="ACP65" s="16"/>
      <c r="ACQ65" s="16"/>
      <c r="ACR65" s="16"/>
      <c r="ACS65" s="16"/>
      <c r="ACT65" s="16"/>
      <c r="ACU65" s="16"/>
      <c r="ACV65" s="16"/>
      <c r="ACW65" s="16"/>
      <c r="ACX65" s="16"/>
      <c r="ACY65" s="16"/>
      <c r="ACZ65" s="16"/>
      <c r="ADA65" s="16"/>
      <c r="ADB65" s="16"/>
      <c r="ADC65" s="16"/>
      <c r="ADD65" s="16"/>
      <c r="ADE65" s="16"/>
      <c r="ADF65" s="16"/>
      <c r="ADG65" s="16"/>
      <c r="ADH65" s="16"/>
      <c r="ADI65" s="16"/>
      <c r="ADJ65" s="16"/>
      <c r="ADK65" s="16"/>
      <c r="ADL65" s="16"/>
      <c r="ADM65" s="16"/>
      <c r="ADN65" s="16"/>
      <c r="ADO65" s="16"/>
      <c r="ADP65" s="16"/>
      <c r="ADQ65" s="16"/>
      <c r="ADR65" s="16"/>
      <c r="ADS65" s="16"/>
      <c r="ADT65" s="16"/>
      <c r="ADU65" s="16"/>
      <c r="ADV65" s="16"/>
      <c r="ADW65" s="16"/>
      <c r="ADX65" s="16"/>
      <c r="ADY65" s="16"/>
      <c r="ADZ65" s="16"/>
      <c r="AEA65" s="16"/>
      <c r="AEB65" s="16"/>
      <c r="AEC65" s="16"/>
      <c r="AED65" s="16"/>
      <c r="AEE65" s="16"/>
      <c r="AEF65" s="16"/>
      <c r="AEG65" s="16"/>
      <c r="AEH65" s="16"/>
      <c r="AEI65" s="16"/>
      <c r="AEJ65" s="16"/>
      <c r="AEK65" s="16"/>
      <c r="AEL65" s="16"/>
      <c r="AEM65" s="16"/>
      <c r="AEN65" s="16"/>
      <c r="AEO65" s="16"/>
      <c r="AEP65" s="16"/>
      <c r="AEQ65" s="16"/>
      <c r="AER65" s="16"/>
      <c r="AES65" s="16"/>
      <c r="AET65" s="16"/>
      <c r="AEU65" s="16"/>
      <c r="AEV65" s="16"/>
      <c r="AEW65" s="16"/>
      <c r="AEX65" s="16"/>
      <c r="AEY65" s="16"/>
      <c r="AEZ65" s="16"/>
      <c r="AFA65" s="16"/>
      <c r="AFB65" s="16"/>
      <c r="AFC65" s="16"/>
      <c r="AFD65" s="16"/>
      <c r="AFE65" s="16"/>
      <c r="AFF65" s="16"/>
      <c r="AFG65" s="16"/>
      <c r="AFH65" s="16"/>
      <c r="AFI65" s="16"/>
      <c r="AFJ65" s="16"/>
      <c r="AFK65" s="16"/>
      <c r="AFL65" s="16"/>
      <c r="AFM65" s="16"/>
      <c r="AFN65" s="16"/>
      <c r="AFO65" s="16"/>
      <c r="AFP65" s="16"/>
      <c r="AFQ65" s="16"/>
      <c r="AFR65" s="16"/>
      <c r="AFS65" s="16"/>
      <c r="AFT65" s="16"/>
      <c r="AFU65" s="16"/>
      <c r="AFV65" s="16"/>
      <c r="AFW65" s="16"/>
      <c r="AFX65" s="16"/>
      <c r="AFY65" s="16"/>
      <c r="AFZ65" s="16"/>
      <c r="AGA65" s="16"/>
      <c r="AGB65" s="16"/>
      <c r="AGC65" s="16"/>
      <c r="AGD65" s="16"/>
      <c r="AGE65" s="16"/>
      <c r="AGF65" s="16"/>
    </row>
    <row r="66" spans="1:864" s="6" customFormat="1">
      <c r="A66" s="151" t="s">
        <v>401</v>
      </c>
      <c r="B66" s="34" t="s">
        <v>286</v>
      </c>
      <c r="C66" s="40" t="s">
        <v>139</v>
      </c>
      <c r="D66" s="34" t="s">
        <v>139</v>
      </c>
      <c r="E66" s="257">
        <v>0.81</v>
      </c>
      <c r="F66" s="232">
        <v>2</v>
      </c>
      <c r="G66" s="40" t="s">
        <v>294</v>
      </c>
      <c r="H66" s="29">
        <v>1</v>
      </c>
      <c r="I66" s="9"/>
      <c r="J66" s="9">
        <v>2</v>
      </c>
      <c r="K66" s="9">
        <v>3</v>
      </c>
      <c r="L66" s="9">
        <v>3</v>
      </c>
      <c r="M66" s="9">
        <v>1</v>
      </c>
      <c r="N66" s="185">
        <f t="shared" si="1"/>
        <v>0.50042652380814845</v>
      </c>
      <c r="O66" s="159" t="str">
        <f t="shared" si="2"/>
        <v/>
      </c>
      <c r="P66" s="63"/>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6"/>
      <c r="MI66" s="16"/>
      <c r="MJ66" s="16"/>
      <c r="MK66" s="16"/>
      <c r="ML66" s="16"/>
      <c r="MM66" s="16"/>
      <c r="MN66" s="16"/>
      <c r="MO66" s="16"/>
      <c r="MP66" s="16"/>
      <c r="MQ66" s="16"/>
      <c r="MR66" s="16"/>
      <c r="MS66" s="16"/>
      <c r="MT66" s="16"/>
      <c r="MU66" s="16"/>
      <c r="MV66" s="16"/>
      <c r="MW66" s="16"/>
      <c r="MX66" s="16"/>
      <c r="MY66" s="16"/>
      <c r="MZ66" s="16"/>
      <c r="NA66" s="16"/>
      <c r="NB66" s="16"/>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c r="QE66" s="16"/>
      <c r="QF66" s="16"/>
      <c r="QG66" s="16"/>
      <c r="QH66" s="16"/>
      <c r="QI66" s="16"/>
      <c r="QJ66" s="16"/>
      <c r="QK66" s="16"/>
      <c r="QL66" s="16"/>
      <c r="QM66" s="16"/>
      <c r="QN66" s="16"/>
      <c r="QO66" s="16"/>
      <c r="QP66" s="16"/>
      <c r="QQ66" s="16"/>
      <c r="QR66" s="16"/>
      <c r="QS66" s="16"/>
      <c r="QT66" s="16"/>
      <c r="QU66" s="16"/>
      <c r="QV66" s="16"/>
      <c r="QW66" s="16"/>
      <c r="QX66" s="16"/>
      <c r="QY66" s="16"/>
      <c r="QZ66" s="16"/>
      <c r="RA66" s="16"/>
      <c r="RB66" s="16"/>
      <c r="RC66" s="16"/>
      <c r="RD66" s="16"/>
      <c r="RE66" s="16"/>
      <c r="RF66" s="16"/>
      <c r="RG66" s="16"/>
      <c r="RH66" s="16"/>
      <c r="RI66" s="16"/>
      <c r="RJ66" s="16"/>
      <c r="RK66" s="16"/>
      <c r="RL66" s="16"/>
      <c r="RM66" s="16"/>
      <c r="RN66" s="16"/>
      <c r="RO66" s="16"/>
      <c r="RP66" s="16"/>
      <c r="RQ66" s="16"/>
      <c r="RR66" s="16"/>
      <c r="RS66" s="16"/>
      <c r="RT66" s="16"/>
      <c r="RU66" s="16"/>
      <c r="RV66" s="16"/>
      <c r="RW66" s="16"/>
      <c r="RX66" s="16"/>
      <c r="RY66" s="16"/>
      <c r="RZ66" s="16"/>
      <c r="SA66" s="16"/>
      <c r="SB66" s="16"/>
      <c r="SC66" s="16"/>
      <c r="SD66" s="16"/>
      <c r="SE66" s="16"/>
      <c r="SF66" s="16"/>
      <c r="SG66" s="16"/>
      <c r="SH66" s="16"/>
      <c r="SI66" s="16"/>
      <c r="SJ66" s="16"/>
      <c r="SK66" s="16"/>
      <c r="SL66" s="16"/>
      <c r="SM66" s="16"/>
      <c r="SN66" s="16"/>
      <c r="SO66" s="16"/>
      <c r="SP66" s="16"/>
      <c r="SQ66" s="16"/>
      <c r="SR66" s="16"/>
      <c r="SS66" s="16"/>
      <c r="ST66" s="16"/>
      <c r="SU66" s="16"/>
      <c r="SV66" s="16"/>
      <c r="SW66" s="16"/>
      <c r="SX66" s="16"/>
      <c r="SY66" s="16"/>
      <c r="SZ66" s="16"/>
      <c r="TA66" s="16"/>
      <c r="TB66" s="16"/>
      <c r="TC66" s="16"/>
      <c r="TD66" s="16"/>
      <c r="TE66" s="16"/>
      <c r="TF66" s="16"/>
      <c r="TG66" s="16"/>
      <c r="TH66" s="16"/>
      <c r="TI66" s="16"/>
      <c r="TJ66" s="16"/>
      <c r="TK66" s="16"/>
      <c r="TL66" s="16"/>
      <c r="TM66" s="16"/>
      <c r="TN66" s="16"/>
      <c r="TO66" s="16"/>
      <c r="TP66" s="16"/>
      <c r="TQ66" s="16"/>
      <c r="TR66" s="16"/>
      <c r="TS66" s="16"/>
      <c r="TT66" s="16"/>
      <c r="TU66" s="16"/>
      <c r="TV66" s="16"/>
      <c r="TW66" s="16"/>
      <c r="TX66" s="16"/>
      <c r="TY66" s="16"/>
      <c r="TZ66" s="16"/>
      <c r="UA66" s="16"/>
      <c r="UB66" s="16"/>
      <c r="UC66" s="16"/>
      <c r="UD66" s="16"/>
      <c r="UE66" s="16"/>
      <c r="UF66" s="16"/>
      <c r="UG66" s="16"/>
      <c r="UH66" s="16"/>
      <c r="UI66" s="16"/>
      <c r="UJ66" s="16"/>
      <c r="UK66" s="16"/>
      <c r="UL66" s="16"/>
      <c r="UM66" s="16"/>
      <c r="UN66" s="16"/>
      <c r="UO66" s="16"/>
      <c r="UP66" s="16"/>
      <c r="UQ66" s="16"/>
      <c r="UR66" s="16"/>
      <c r="US66" s="16"/>
      <c r="UT66" s="16"/>
      <c r="UU66" s="16"/>
      <c r="UV66" s="16"/>
      <c r="UW66" s="16"/>
      <c r="UX66" s="16"/>
      <c r="UY66" s="16"/>
      <c r="UZ66" s="16"/>
      <c r="VA66" s="16"/>
      <c r="VB66" s="16"/>
      <c r="VC66" s="16"/>
      <c r="VD66" s="16"/>
      <c r="VE66" s="16"/>
      <c r="VF66" s="16"/>
      <c r="VG66" s="16"/>
      <c r="VH66" s="16"/>
      <c r="VI66" s="16"/>
      <c r="VJ66" s="16"/>
      <c r="VK66" s="16"/>
      <c r="VL66" s="16"/>
      <c r="VM66" s="16"/>
      <c r="VN66" s="16"/>
      <c r="VO66" s="16"/>
      <c r="VP66" s="16"/>
      <c r="VQ66" s="16"/>
      <c r="VR66" s="16"/>
      <c r="VS66" s="16"/>
      <c r="VT66" s="16"/>
      <c r="VU66" s="16"/>
      <c r="VV66" s="16"/>
      <c r="VW66" s="16"/>
      <c r="VX66" s="16"/>
      <c r="VY66" s="16"/>
      <c r="VZ66" s="16"/>
      <c r="WA66" s="16"/>
      <c r="WB66" s="16"/>
      <c r="WC66" s="16"/>
      <c r="WD66" s="16"/>
      <c r="WE66" s="16"/>
      <c r="WF66" s="16"/>
      <c r="WG66" s="16"/>
      <c r="WH66" s="16"/>
      <c r="WI66" s="16"/>
      <c r="WJ66" s="16"/>
      <c r="WK66" s="16"/>
      <c r="WL66" s="16"/>
      <c r="WM66" s="16"/>
      <c r="WN66" s="16"/>
      <c r="WO66" s="16"/>
      <c r="WP66" s="16"/>
      <c r="WQ66" s="16"/>
      <c r="WR66" s="16"/>
      <c r="WS66" s="16"/>
      <c r="WT66" s="16"/>
      <c r="WU66" s="16"/>
      <c r="WV66" s="16"/>
      <c r="WW66" s="16"/>
      <c r="WX66" s="16"/>
      <c r="WY66" s="16"/>
      <c r="WZ66" s="16"/>
      <c r="XA66" s="16"/>
      <c r="XB66" s="16"/>
      <c r="XC66" s="16"/>
      <c r="XD66" s="16"/>
      <c r="XE66" s="16"/>
      <c r="XF66" s="16"/>
      <c r="XG66" s="16"/>
      <c r="XH66" s="16"/>
      <c r="XI66" s="16"/>
      <c r="XJ66" s="16"/>
      <c r="XK66" s="16"/>
      <c r="XL66" s="16"/>
      <c r="XM66" s="16"/>
      <c r="XN66" s="16"/>
      <c r="XO66" s="16"/>
      <c r="XP66" s="16"/>
      <c r="XQ66" s="16"/>
      <c r="XR66" s="16"/>
      <c r="XS66" s="16"/>
      <c r="XT66" s="16"/>
      <c r="XU66" s="16"/>
      <c r="XV66" s="16"/>
      <c r="XW66" s="16"/>
      <c r="XX66" s="16"/>
      <c r="XY66" s="16"/>
      <c r="XZ66" s="16"/>
      <c r="YA66" s="16"/>
      <c r="YB66" s="16"/>
      <c r="YC66" s="16"/>
      <c r="YD66" s="16"/>
      <c r="YE66" s="16"/>
      <c r="YF66" s="16"/>
      <c r="YG66" s="16"/>
      <c r="YH66" s="16"/>
      <c r="YI66" s="16"/>
      <c r="YJ66" s="16"/>
      <c r="YK66" s="16"/>
      <c r="YL66" s="16"/>
      <c r="YM66" s="16"/>
      <c r="YN66" s="16"/>
      <c r="YO66" s="16"/>
      <c r="YP66" s="16"/>
      <c r="YQ66" s="16"/>
      <c r="YR66" s="16"/>
      <c r="YS66" s="16"/>
      <c r="YT66" s="16"/>
      <c r="YU66" s="16"/>
      <c r="YV66" s="16"/>
      <c r="YW66" s="16"/>
      <c r="YX66" s="16"/>
      <c r="YY66" s="16"/>
      <c r="YZ66" s="16"/>
      <c r="ZA66" s="16"/>
      <c r="ZB66" s="16"/>
      <c r="ZC66" s="16"/>
      <c r="ZD66" s="16"/>
      <c r="ZE66" s="16"/>
      <c r="ZF66" s="16"/>
      <c r="ZG66" s="16"/>
      <c r="ZH66" s="16"/>
      <c r="ZI66" s="16"/>
      <c r="ZJ66" s="16"/>
      <c r="ZK66" s="16"/>
      <c r="ZL66" s="16"/>
      <c r="ZM66" s="16"/>
      <c r="ZN66" s="16"/>
      <c r="ZO66" s="16"/>
      <c r="ZP66" s="16"/>
      <c r="ZQ66" s="16"/>
      <c r="ZR66" s="16"/>
      <c r="ZS66" s="16"/>
      <c r="ZT66" s="16"/>
      <c r="ZU66" s="16"/>
      <c r="ZV66" s="16"/>
      <c r="ZW66" s="16"/>
      <c r="ZX66" s="16"/>
      <c r="ZY66" s="16"/>
      <c r="ZZ66" s="16"/>
      <c r="AAA66" s="16"/>
      <c r="AAB66" s="16"/>
      <c r="AAC66" s="16"/>
      <c r="AAD66" s="16"/>
      <c r="AAE66" s="16"/>
      <c r="AAF66" s="16"/>
      <c r="AAG66" s="16"/>
      <c r="AAH66" s="16"/>
      <c r="AAI66" s="16"/>
      <c r="AAJ66" s="16"/>
      <c r="AAK66" s="16"/>
      <c r="AAL66" s="16"/>
      <c r="AAM66" s="16"/>
      <c r="AAN66" s="16"/>
      <c r="AAO66" s="16"/>
      <c r="AAP66" s="16"/>
      <c r="AAQ66" s="16"/>
      <c r="AAR66" s="16"/>
      <c r="AAS66" s="16"/>
      <c r="AAT66" s="16"/>
      <c r="AAU66" s="16"/>
      <c r="AAV66" s="16"/>
      <c r="AAW66" s="16"/>
      <c r="AAX66" s="16"/>
      <c r="AAY66" s="16"/>
      <c r="AAZ66" s="16"/>
      <c r="ABA66" s="16"/>
      <c r="ABB66" s="16"/>
      <c r="ABC66" s="16"/>
      <c r="ABD66" s="16"/>
      <c r="ABE66" s="16"/>
      <c r="ABF66" s="16"/>
      <c r="ABG66" s="16"/>
      <c r="ABH66" s="16"/>
      <c r="ABI66" s="16"/>
      <c r="ABJ66" s="16"/>
      <c r="ABK66" s="16"/>
      <c r="ABL66" s="16"/>
      <c r="ABM66" s="16"/>
      <c r="ABN66" s="16"/>
      <c r="ABO66" s="16"/>
      <c r="ABP66" s="16"/>
      <c r="ABQ66" s="16"/>
      <c r="ABR66" s="16"/>
      <c r="ABS66" s="16"/>
      <c r="ABT66" s="16"/>
      <c r="ABU66" s="16"/>
      <c r="ABV66" s="16"/>
      <c r="ABW66" s="16"/>
      <c r="ABX66" s="16"/>
      <c r="ABY66" s="16"/>
      <c r="ABZ66" s="16"/>
      <c r="ACA66" s="16"/>
      <c r="ACB66" s="16"/>
      <c r="ACC66" s="16"/>
      <c r="ACD66" s="16"/>
      <c r="ACE66" s="16"/>
      <c r="ACF66" s="16"/>
      <c r="ACG66" s="16"/>
      <c r="ACH66" s="16"/>
      <c r="ACI66" s="16"/>
      <c r="ACJ66" s="16"/>
      <c r="ACK66" s="16"/>
      <c r="ACL66" s="16"/>
      <c r="ACM66" s="16"/>
      <c r="ACN66" s="16"/>
      <c r="ACO66" s="16"/>
      <c r="ACP66" s="16"/>
      <c r="ACQ66" s="16"/>
      <c r="ACR66" s="16"/>
      <c r="ACS66" s="16"/>
      <c r="ACT66" s="16"/>
      <c r="ACU66" s="16"/>
      <c r="ACV66" s="16"/>
      <c r="ACW66" s="16"/>
      <c r="ACX66" s="16"/>
      <c r="ACY66" s="16"/>
      <c r="ACZ66" s="16"/>
      <c r="ADA66" s="16"/>
      <c r="ADB66" s="16"/>
      <c r="ADC66" s="16"/>
      <c r="ADD66" s="16"/>
      <c r="ADE66" s="16"/>
      <c r="ADF66" s="16"/>
      <c r="ADG66" s="16"/>
      <c r="ADH66" s="16"/>
      <c r="ADI66" s="16"/>
      <c r="ADJ66" s="16"/>
      <c r="ADK66" s="16"/>
      <c r="ADL66" s="16"/>
      <c r="ADM66" s="16"/>
      <c r="ADN66" s="16"/>
      <c r="ADO66" s="16"/>
      <c r="ADP66" s="16"/>
      <c r="ADQ66" s="16"/>
      <c r="ADR66" s="16"/>
      <c r="ADS66" s="16"/>
      <c r="ADT66" s="16"/>
      <c r="ADU66" s="16"/>
      <c r="ADV66" s="16"/>
      <c r="ADW66" s="16"/>
      <c r="ADX66" s="16"/>
      <c r="ADY66" s="16"/>
      <c r="ADZ66" s="16"/>
      <c r="AEA66" s="16"/>
      <c r="AEB66" s="16"/>
      <c r="AEC66" s="16"/>
      <c r="AED66" s="16"/>
      <c r="AEE66" s="16"/>
      <c r="AEF66" s="16"/>
      <c r="AEG66" s="16"/>
      <c r="AEH66" s="16"/>
      <c r="AEI66" s="16"/>
      <c r="AEJ66" s="16"/>
      <c r="AEK66" s="16"/>
      <c r="AEL66" s="16"/>
      <c r="AEM66" s="16"/>
      <c r="AEN66" s="16"/>
      <c r="AEO66" s="16"/>
      <c r="AEP66" s="16"/>
      <c r="AEQ66" s="16"/>
      <c r="AER66" s="16"/>
      <c r="AES66" s="16"/>
      <c r="AET66" s="16"/>
      <c r="AEU66" s="16"/>
      <c r="AEV66" s="16"/>
      <c r="AEW66" s="16"/>
      <c r="AEX66" s="16"/>
      <c r="AEY66" s="16"/>
      <c r="AEZ66" s="16"/>
      <c r="AFA66" s="16"/>
      <c r="AFB66" s="16"/>
      <c r="AFC66" s="16"/>
      <c r="AFD66" s="16"/>
      <c r="AFE66" s="16"/>
      <c r="AFF66" s="16"/>
      <c r="AFG66" s="16"/>
      <c r="AFH66" s="16"/>
      <c r="AFI66" s="16"/>
      <c r="AFJ66" s="16"/>
      <c r="AFK66" s="16"/>
      <c r="AFL66" s="16"/>
      <c r="AFM66" s="16"/>
      <c r="AFN66" s="16"/>
      <c r="AFO66" s="16"/>
      <c r="AFP66" s="16"/>
      <c r="AFQ66" s="16"/>
      <c r="AFR66" s="16"/>
      <c r="AFS66" s="16"/>
      <c r="AFT66" s="16"/>
      <c r="AFU66" s="16"/>
      <c r="AFV66" s="16"/>
      <c r="AFW66" s="16"/>
      <c r="AFX66" s="16"/>
      <c r="AFY66" s="16"/>
      <c r="AFZ66" s="16"/>
      <c r="AGA66" s="16"/>
      <c r="AGB66" s="16"/>
      <c r="AGC66" s="16"/>
      <c r="AGD66" s="16"/>
      <c r="AGE66" s="16"/>
      <c r="AGF66" s="16"/>
    </row>
    <row r="67" spans="1:864" s="6" customFormat="1">
      <c r="A67" s="151" t="s">
        <v>385</v>
      </c>
      <c r="B67" s="34" t="s">
        <v>258</v>
      </c>
      <c r="C67" s="40" t="s">
        <v>139</v>
      </c>
      <c r="D67" s="34" t="s">
        <v>139</v>
      </c>
      <c r="E67" s="257">
        <v>0</v>
      </c>
      <c r="F67" s="232">
        <v>2</v>
      </c>
      <c r="G67" s="40" t="s">
        <v>415</v>
      </c>
      <c r="H67" s="29"/>
      <c r="I67" s="9"/>
      <c r="J67" s="9"/>
      <c r="K67" s="9"/>
      <c r="L67" s="9"/>
      <c r="M67" s="9"/>
      <c r="N67" s="185" t="str">
        <f t="shared" si="1"/>
        <v/>
      </c>
      <c r="O67" s="159" t="str">
        <f t="shared" si="2"/>
        <v/>
      </c>
      <c r="P67" s="63" t="s">
        <v>400</v>
      </c>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6"/>
      <c r="MI67" s="16"/>
      <c r="MJ67" s="16"/>
      <c r="MK67" s="16"/>
      <c r="ML67" s="16"/>
      <c r="MM67" s="16"/>
      <c r="MN67" s="16"/>
      <c r="MO67" s="16"/>
      <c r="MP67" s="16"/>
      <c r="MQ67" s="16"/>
      <c r="MR67" s="16"/>
      <c r="MS67" s="16"/>
      <c r="MT67" s="16"/>
      <c r="MU67" s="16"/>
      <c r="MV67" s="16"/>
      <c r="MW67" s="16"/>
      <c r="MX67" s="16"/>
      <c r="MY67" s="16"/>
      <c r="MZ67" s="16"/>
      <c r="NA67" s="16"/>
      <c r="NB67" s="16"/>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c r="QE67" s="16"/>
      <c r="QF67" s="16"/>
      <c r="QG67" s="16"/>
      <c r="QH67" s="16"/>
      <c r="QI67" s="16"/>
      <c r="QJ67" s="16"/>
      <c r="QK67" s="16"/>
      <c r="QL67" s="16"/>
      <c r="QM67" s="16"/>
      <c r="QN67" s="16"/>
      <c r="QO67" s="16"/>
      <c r="QP67" s="16"/>
      <c r="QQ67" s="16"/>
      <c r="QR67" s="16"/>
      <c r="QS67" s="16"/>
      <c r="QT67" s="16"/>
      <c r="QU67" s="16"/>
      <c r="QV67" s="16"/>
      <c r="QW67" s="16"/>
      <c r="QX67" s="16"/>
      <c r="QY67" s="16"/>
      <c r="QZ67" s="16"/>
      <c r="RA67" s="16"/>
      <c r="RB67" s="16"/>
      <c r="RC67" s="16"/>
      <c r="RD67" s="16"/>
      <c r="RE67" s="16"/>
      <c r="RF67" s="16"/>
      <c r="RG67" s="16"/>
      <c r="RH67" s="16"/>
      <c r="RI67" s="16"/>
      <c r="RJ67" s="16"/>
      <c r="RK67" s="16"/>
      <c r="RL67" s="16"/>
      <c r="RM67" s="16"/>
      <c r="RN67" s="16"/>
      <c r="RO67" s="16"/>
      <c r="RP67" s="16"/>
      <c r="RQ67" s="16"/>
      <c r="RR67" s="16"/>
      <c r="RS67" s="16"/>
      <c r="RT67" s="16"/>
      <c r="RU67" s="16"/>
      <c r="RV67" s="16"/>
      <c r="RW67" s="16"/>
      <c r="RX67" s="16"/>
      <c r="RY67" s="16"/>
      <c r="RZ67" s="16"/>
      <c r="SA67" s="16"/>
      <c r="SB67" s="16"/>
      <c r="SC67" s="16"/>
      <c r="SD67" s="16"/>
      <c r="SE67" s="16"/>
      <c r="SF67" s="16"/>
      <c r="SG67" s="16"/>
      <c r="SH67" s="16"/>
      <c r="SI67" s="16"/>
      <c r="SJ67" s="16"/>
      <c r="SK67" s="16"/>
      <c r="SL67" s="16"/>
      <c r="SM67" s="16"/>
      <c r="SN67" s="16"/>
      <c r="SO67" s="16"/>
      <c r="SP67" s="16"/>
      <c r="SQ67" s="16"/>
      <c r="SR67" s="16"/>
      <c r="SS67" s="16"/>
      <c r="ST67" s="16"/>
      <c r="SU67" s="16"/>
      <c r="SV67" s="16"/>
      <c r="SW67" s="16"/>
      <c r="SX67" s="16"/>
      <c r="SY67" s="16"/>
      <c r="SZ67" s="16"/>
      <c r="TA67" s="16"/>
      <c r="TB67" s="16"/>
      <c r="TC67" s="16"/>
      <c r="TD67" s="16"/>
      <c r="TE67" s="16"/>
      <c r="TF67" s="16"/>
      <c r="TG67" s="16"/>
      <c r="TH67" s="16"/>
      <c r="TI67" s="16"/>
      <c r="TJ67" s="16"/>
      <c r="TK67" s="16"/>
      <c r="TL67" s="16"/>
      <c r="TM67" s="16"/>
      <c r="TN67" s="16"/>
      <c r="TO67" s="16"/>
      <c r="TP67" s="16"/>
      <c r="TQ67" s="16"/>
      <c r="TR67" s="16"/>
      <c r="TS67" s="16"/>
      <c r="TT67" s="16"/>
      <c r="TU67" s="16"/>
      <c r="TV67" s="16"/>
      <c r="TW67" s="16"/>
      <c r="TX67" s="16"/>
      <c r="TY67" s="16"/>
      <c r="TZ67" s="16"/>
      <c r="UA67" s="16"/>
      <c r="UB67" s="16"/>
      <c r="UC67" s="16"/>
      <c r="UD67" s="16"/>
      <c r="UE67" s="16"/>
      <c r="UF67" s="16"/>
      <c r="UG67" s="16"/>
      <c r="UH67" s="16"/>
      <c r="UI67" s="16"/>
      <c r="UJ67" s="16"/>
      <c r="UK67" s="16"/>
      <c r="UL67" s="16"/>
      <c r="UM67" s="16"/>
      <c r="UN67" s="16"/>
      <c r="UO67" s="16"/>
      <c r="UP67" s="16"/>
      <c r="UQ67" s="16"/>
      <c r="UR67" s="16"/>
      <c r="US67" s="16"/>
      <c r="UT67" s="16"/>
      <c r="UU67" s="16"/>
      <c r="UV67" s="16"/>
      <c r="UW67" s="16"/>
      <c r="UX67" s="16"/>
      <c r="UY67" s="16"/>
      <c r="UZ67" s="16"/>
      <c r="VA67" s="16"/>
      <c r="VB67" s="16"/>
      <c r="VC67" s="16"/>
      <c r="VD67" s="16"/>
      <c r="VE67" s="16"/>
      <c r="VF67" s="16"/>
      <c r="VG67" s="16"/>
      <c r="VH67" s="16"/>
      <c r="VI67" s="16"/>
      <c r="VJ67" s="16"/>
      <c r="VK67" s="16"/>
      <c r="VL67" s="16"/>
      <c r="VM67" s="16"/>
      <c r="VN67" s="16"/>
      <c r="VO67" s="16"/>
      <c r="VP67" s="16"/>
      <c r="VQ67" s="16"/>
      <c r="VR67" s="16"/>
      <c r="VS67" s="16"/>
      <c r="VT67" s="16"/>
      <c r="VU67" s="16"/>
      <c r="VV67" s="16"/>
      <c r="VW67" s="16"/>
      <c r="VX67" s="16"/>
      <c r="VY67" s="16"/>
      <c r="VZ67" s="16"/>
      <c r="WA67" s="16"/>
      <c r="WB67" s="16"/>
      <c r="WC67" s="16"/>
      <c r="WD67" s="16"/>
      <c r="WE67" s="16"/>
      <c r="WF67" s="16"/>
      <c r="WG67" s="16"/>
      <c r="WH67" s="16"/>
      <c r="WI67" s="16"/>
      <c r="WJ67" s="16"/>
      <c r="WK67" s="16"/>
      <c r="WL67" s="16"/>
      <c r="WM67" s="16"/>
      <c r="WN67" s="16"/>
      <c r="WO67" s="16"/>
      <c r="WP67" s="16"/>
      <c r="WQ67" s="16"/>
      <c r="WR67" s="16"/>
      <c r="WS67" s="16"/>
      <c r="WT67" s="16"/>
      <c r="WU67" s="16"/>
      <c r="WV67" s="16"/>
      <c r="WW67" s="16"/>
      <c r="WX67" s="16"/>
      <c r="WY67" s="16"/>
      <c r="WZ67" s="16"/>
      <c r="XA67" s="16"/>
      <c r="XB67" s="16"/>
      <c r="XC67" s="16"/>
      <c r="XD67" s="16"/>
      <c r="XE67" s="16"/>
      <c r="XF67" s="16"/>
      <c r="XG67" s="16"/>
      <c r="XH67" s="16"/>
      <c r="XI67" s="16"/>
      <c r="XJ67" s="16"/>
      <c r="XK67" s="16"/>
      <c r="XL67" s="16"/>
      <c r="XM67" s="16"/>
      <c r="XN67" s="16"/>
      <c r="XO67" s="16"/>
      <c r="XP67" s="16"/>
      <c r="XQ67" s="16"/>
      <c r="XR67" s="16"/>
      <c r="XS67" s="16"/>
      <c r="XT67" s="16"/>
      <c r="XU67" s="16"/>
      <c r="XV67" s="16"/>
      <c r="XW67" s="16"/>
      <c r="XX67" s="16"/>
      <c r="XY67" s="16"/>
      <c r="XZ67" s="16"/>
      <c r="YA67" s="16"/>
      <c r="YB67" s="16"/>
      <c r="YC67" s="16"/>
      <c r="YD67" s="16"/>
      <c r="YE67" s="16"/>
      <c r="YF67" s="16"/>
      <c r="YG67" s="16"/>
      <c r="YH67" s="16"/>
      <c r="YI67" s="16"/>
      <c r="YJ67" s="16"/>
      <c r="YK67" s="16"/>
      <c r="YL67" s="16"/>
      <c r="YM67" s="16"/>
      <c r="YN67" s="16"/>
      <c r="YO67" s="16"/>
      <c r="YP67" s="16"/>
      <c r="YQ67" s="16"/>
      <c r="YR67" s="16"/>
      <c r="YS67" s="16"/>
      <c r="YT67" s="16"/>
      <c r="YU67" s="16"/>
      <c r="YV67" s="16"/>
      <c r="YW67" s="16"/>
      <c r="YX67" s="16"/>
      <c r="YY67" s="16"/>
      <c r="YZ67" s="16"/>
      <c r="ZA67" s="16"/>
      <c r="ZB67" s="16"/>
      <c r="ZC67" s="16"/>
      <c r="ZD67" s="16"/>
      <c r="ZE67" s="16"/>
      <c r="ZF67" s="16"/>
      <c r="ZG67" s="16"/>
      <c r="ZH67" s="16"/>
      <c r="ZI67" s="16"/>
      <c r="ZJ67" s="16"/>
      <c r="ZK67" s="16"/>
      <c r="ZL67" s="16"/>
      <c r="ZM67" s="16"/>
      <c r="ZN67" s="16"/>
      <c r="ZO67" s="16"/>
      <c r="ZP67" s="16"/>
      <c r="ZQ67" s="16"/>
      <c r="ZR67" s="16"/>
      <c r="ZS67" s="16"/>
      <c r="ZT67" s="16"/>
      <c r="ZU67" s="16"/>
      <c r="ZV67" s="16"/>
      <c r="ZW67" s="16"/>
      <c r="ZX67" s="16"/>
      <c r="ZY67" s="16"/>
      <c r="ZZ67" s="16"/>
      <c r="AAA67" s="16"/>
      <c r="AAB67" s="16"/>
      <c r="AAC67" s="16"/>
      <c r="AAD67" s="16"/>
      <c r="AAE67" s="16"/>
      <c r="AAF67" s="16"/>
      <c r="AAG67" s="16"/>
      <c r="AAH67" s="16"/>
      <c r="AAI67" s="16"/>
      <c r="AAJ67" s="16"/>
      <c r="AAK67" s="16"/>
      <c r="AAL67" s="16"/>
      <c r="AAM67" s="16"/>
      <c r="AAN67" s="16"/>
      <c r="AAO67" s="16"/>
      <c r="AAP67" s="16"/>
      <c r="AAQ67" s="16"/>
      <c r="AAR67" s="16"/>
      <c r="AAS67" s="16"/>
      <c r="AAT67" s="16"/>
      <c r="AAU67" s="16"/>
      <c r="AAV67" s="16"/>
      <c r="AAW67" s="16"/>
      <c r="AAX67" s="16"/>
      <c r="AAY67" s="16"/>
      <c r="AAZ67" s="16"/>
      <c r="ABA67" s="16"/>
      <c r="ABB67" s="16"/>
      <c r="ABC67" s="16"/>
      <c r="ABD67" s="16"/>
      <c r="ABE67" s="16"/>
      <c r="ABF67" s="16"/>
      <c r="ABG67" s="16"/>
      <c r="ABH67" s="16"/>
      <c r="ABI67" s="16"/>
      <c r="ABJ67" s="16"/>
      <c r="ABK67" s="16"/>
      <c r="ABL67" s="16"/>
      <c r="ABM67" s="16"/>
      <c r="ABN67" s="16"/>
      <c r="ABO67" s="16"/>
      <c r="ABP67" s="16"/>
      <c r="ABQ67" s="16"/>
      <c r="ABR67" s="16"/>
      <c r="ABS67" s="16"/>
      <c r="ABT67" s="16"/>
      <c r="ABU67" s="16"/>
      <c r="ABV67" s="16"/>
      <c r="ABW67" s="16"/>
      <c r="ABX67" s="16"/>
      <c r="ABY67" s="16"/>
      <c r="ABZ67" s="16"/>
      <c r="ACA67" s="16"/>
      <c r="ACB67" s="16"/>
      <c r="ACC67" s="16"/>
      <c r="ACD67" s="16"/>
      <c r="ACE67" s="16"/>
      <c r="ACF67" s="16"/>
      <c r="ACG67" s="16"/>
      <c r="ACH67" s="16"/>
      <c r="ACI67" s="16"/>
      <c r="ACJ67" s="16"/>
      <c r="ACK67" s="16"/>
      <c r="ACL67" s="16"/>
      <c r="ACM67" s="16"/>
      <c r="ACN67" s="16"/>
      <c r="ACO67" s="16"/>
      <c r="ACP67" s="16"/>
      <c r="ACQ67" s="16"/>
      <c r="ACR67" s="16"/>
      <c r="ACS67" s="16"/>
      <c r="ACT67" s="16"/>
      <c r="ACU67" s="16"/>
      <c r="ACV67" s="16"/>
      <c r="ACW67" s="16"/>
      <c r="ACX67" s="16"/>
      <c r="ACY67" s="16"/>
      <c r="ACZ67" s="16"/>
      <c r="ADA67" s="16"/>
      <c r="ADB67" s="16"/>
      <c r="ADC67" s="16"/>
      <c r="ADD67" s="16"/>
      <c r="ADE67" s="16"/>
      <c r="ADF67" s="16"/>
      <c r="ADG67" s="16"/>
      <c r="ADH67" s="16"/>
      <c r="ADI67" s="16"/>
      <c r="ADJ67" s="16"/>
      <c r="ADK67" s="16"/>
      <c r="ADL67" s="16"/>
      <c r="ADM67" s="16"/>
      <c r="ADN67" s="16"/>
      <c r="ADO67" s="16"/>
      <c r="ADP67" s="16"/>
      <c r="ADQ67" s="16"/>
      <c r="ADR67" s="16"/>
      <c r="ADS67" s="16"/>
      <c r="ADT67" s="16"/>
      <c r="ADU67" s="16"/>
      <c r="ADV67" s="16"/>
      <c r="ADW67" s="16"/>
      <c r="ADX67" s="16"/>
      <c r="ADY67" s="16"/>
      <c r="ADZ67" s="16"/>
      <c r="AEA67" s="16"/>
      <c r="AEB67" s="16"/>
      <c r="AEC67" s="16"/>
      <c r="AED67" s="16"/>
      <c r="AEE67" s="16"/>
      <c r="AEF67" s="16"/>
      <c r="AEG67" s="16"/>
      <c r="AEH67" s="16"/>
      <c r="AEI67" s="16"/>
      <c r="AEJ67" s="16"/>
      <c r="AEK67" s="16"/>
      <c r="AEL67" s="16"/>
      <c r="AEM67" s="16"/>
      <c r="AEN67" s="16"/>
      <c r="AEO67" s="16"/>
      <c r="AEP67" s="16"/>
      <c r="AEQ67" s="16"/>
      <c r="AER67" s="16"/>
      <c r="AES67" s="16"/>
      <c r="AET67" s="16"/>
      <c r="AEU67" s="16"/>
      <c r="AEV67" s="16"/>
      <c r="AEW67" s="16"/>
      <c r="AEX67" s="16"/>
      <c r="AEY67" s="16"/>
      <c r="AEZ67" s="16"/>
      <c r="AFA67" s="16"/>
      <c r="AFB67" s="16"/>
      <c r="AFC67" s="16"/>
      <c r="AFD67" s="16"/>
      <c r="AFE67" s="16"/>
      <c r="AFF67" s="16"/>
      <c r="AFG67" s="16"/>
      <c r="AFH67" s="16"/>
      <c r="AFI67" s="16"/>
      <c r="AFJ67" s="16"/>
      <c r="AFK67" s="16"/>
      <c r="AFL67" s="16"/>
      <c r="AFM67" s="16"/>
      <c r="AFN67" s="16"/>
      <c r="AFO67" s="16"/>
      <c r="AFP67" s="16"/>
      <c r="AFQ67" s="16"/>
      <c r="AFR67" s="16"/>
      <c r="AFS67" s="16"/>
      <c r="AFT67" s="16"/>
      <c r="AFU67" s="16"/>
      <c r="AFV67" s="16"/>
      <c r="AFW67" s="16"/>
      <c r="AFX67" s="16"/>
      <c r="AFY67" s="16"/>
      <c r="AFZ67" s="16"/>
      <c r="AGA67" s="16"/>
      <c r="AGB67" s="16"/>
      <c r="AGC67" s="16"/>
      <c r="AGD67" s="16"/>
      <c r="AGE67" s="16"/>
      <c r="AGF67" s="16"/>
    </row>
    <row r="68" spans="1:864" s="6" customFormat="1">
      <c r="A68" s="151" t="s">
        <v>401</v>
      </c>
      <c r="B68" s="34" t="s">
        <v>258</v>
      </c>
      <c r="C68" s="40" t="s">
        <v>139</v>
      </c>
      <c r="D68" s="34" t="s">
        <v>139</v>
      </c>
      <c r="E68" s="257">
        <v>0</v>
      </c>
      <c r="F68" s="232">
        <v>2</v>
      </c>
      <c r="G68" s="40" t="s">
        <v>415</v>
      </c>
      <c r="H68" s="29"/>
      <c r="I68" s="9"/>
      <c r="J68" s="9"/>
      <c r="K68" s="9"/>
      <c r="L68" s="9"/>
      <c r="M68" s="9"/>
      <c r="N68" s="185" t="str">
        <f t="shared" si="1"/>
        <v/>
      </c>
      <c r="O68" s="159" t="str">
        <f t="shared" si="2"/>
        <v/>
      </c>
      <c r="P68" s="63" t="s">
        <v>416</v>
      </c>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6"/>
      <c r="HI68" s="16"/>
      <c r="HJ68" s="16"/>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c r="MX68" s="16"/>
      <c r="MY68" s="16"/>
      <c r="MZ68" s="16"/>
      <c r="NA68" s="16"/>
      <c r="NB68" s="16"/>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c r="QE68" s="16"/>
      <c r="QF68" s="16"/>
      <c r="QG68" s="16"/>
      <c r="QH68" s="16"/>
      <c r="QI68" s="16"/>
      <c r="QJ68" s="16"/>
      <c r="QK68" s="16"/>
      <c r="QL68" s="16"/>
      <c r="QM68" s="16"/>
      <c r="QN68" s="16"/>
      <c r="QO68" s="16"/>
      <c r="QP68" s="16"/>
      <c r="QQ68" s="16"/>
      <c r="QR68" s="16"/>
      <c r="QS68" s="16"/>
      <c r="QT68" s="16"/>
      <c r="QU68" s="16"/>
      <c r="QV68" s="16"/>
      <c r="QW68" s="16"/>
      <c r="QX68" s="16"/>
      <c r="QY68" s="16"/>
      <c r="QZ68" s="16"/>
      <c r="RA68" s="16"/>
      <c r="RB68" s="16"/>
      <c r="RC68" s="16"/>
      <c r="RD68" s="16"/>
      <c r="RE68" s="16"/>
      <c r="RF68" s="16"/>
      <c r="RG68" s="16"/>
      <c r="RH68" s="16"/>
      <c r="RI68" s="16"/>
      <c r="RJ68" s="16"/>
      <c r="RK68" s="16"/>
      <c r="RL68" s="16"/>
      <c r="RM68" s="16"/>
      <c r="RN68" s="16"/>
      <c r="RO68" s="16"/>
      <c r="RP68" s="16"/>
      <c r="RQ68" s="16"/>
      <c r="RR68" s="16"/>
      <c r="RS68" s="16"/>
      <c r="RT68" s="16"/>
      <c r="RU68" s="16"/>
      <c r="RV68" s="16"/>
      <c r="RW68" s="16"/>
      <c r="RX68" s="16"/>
      <c r="RY68" s="16"/>
      <c r="RZ68" s="16"/>
      <c r="SA68" s="16"/>
      <c r="SB68" s="16"/>
      <c r="SC68" s="16"/>
      <c r="SD68" s="16"/>
      <c r="SE68" s="16"/>
      <c r="SF68" s="16"/>
      <c r="SG68" s="16"/>
      <c r="SH68" s="16"/>
      <c r="SI68" s="16"/>
      <c r="SJ68" s="16"/>
      <c r="SK68" s="16"/>
      <c r="SL68" s="16"/>
      <c r="SM68" s="16"/>
      <c r="SN68" s="16"/>
      <c r="SO68" s="16"/>
      <c r="SP68" s="16"/>
      <c r="SQ68" s="16"/>
      <c r="SR68" s="16"/>
      <c r="SS68" s="16"/>
      <c r="ST68" s="16"/>
      <c r="SU68" s="16"/>
      <c r="SV68" s="16"/>
      <c r="SW68" s="16"/>
      <c r="SX68" s="16"/>
      <c r="SY68" s="16"/>
      <c r="SZ68" s="16"/>
      <c r="TA68" s="16"/>
      <c r="TB68" s="16"/>
      <c r="TC68" s="16"/>
      <c r="TD68" s="16"/>
      <c r="TE68" s="16"/>
      <c r="TF68" s="16"/>
      <c r="TG68" s="16"/>
      <c r="TH68" s="16"/>
      <c r="TI68" s="16"/>
      <c r="TJ68" s="16"/>
      <c r="TK68" s="16"/>
      <c r="TL68" s="16"/>
      <c r="TM68" s="16"/>
      <c r="TN68" s="16"/>
      <c r="TO68" s="16"/>
      <c r="TP68" s="16"/>
      <c r="TQ68" s="16"/>
      <c r="TR68" s="16"/>
      <c r="TS68" s="16"/>
      <c r="TT68" s="16"/>
      <c r="TU68" s="16"/>
      <c r="TV68" s="16"/>
      <c r="TW68" s="16"/>
      <c r="TX68" s="16"/>
      <c r="TY68" s="16"/>
      <c r="TZ68" s="16"/>
      <c r="UA68" s="16"/>
      <c r="UB68" s="16"/>
      <c r="UC68" s="16"/>
      <c r="UD68" s="16"/>
      <c r="UE68" s="16"/>
      <c r="UF68" s="16"/>
      <c r="UG68" s="16"/>
      <c r="UH68" s="16"/>
      <c r="UI68" s="16"/>
      <c r="UJ68" s="16"/>
      <c r="UK68" s="16"/>
      <c r="UL68" s="16"/>
      <c r="UM68" s="16"/>
      <c r="UN68" s="16"/>
      <c r="UO68" s="16"/>
      <c r="UP68" s="16"/>
      <c r="UQ68" s="16"/>
      <c r="UR68" s="16"/>
      <c r="US68" s="16"/>
      <c r="UT68" s="16"/>
      <c r="UU68" s="16"/>
      <c r="UV68" s="16"/>
      <c r="UW68" s="16"/>
      <c r="UX68" s="16"/>
      <c r="UY68" s="16"/>
      <c r="UZ68" s="16"/>
      <c r="VA68" s="16"/>
      <c r="VB68" s="16"/>
      <c r="VC68" s="16"/>
      <c r="VD68" s="16"/>
      <c r="VE68" s="16"/>
      <c r="VF68" s="16"/>
      <c r="VG68" s="16"/>
      <c r="VH68" s="16"/>
      <c r="VI68" s="16"/>
      <c r="VJ68" s="16"/>
      <c r="VK68" s="16"/>
      <c r="VL68" s="16"/>
      <c r="VM68" s="16"/>
      <c r="VN68" s="16"/>
      <c r="VO68" s="16"/>
      <c r="VP68" s="16"/>
      <c r="VQ68" s="16"/>
      <c r="VR68" s="16"/>
      <c r="VS68" s="16"/>
      <c r="VT68" s="16"/>
      <c r="VU68" s="16"/>
      <c r="VV68" s="16"/>
      <c r="VW68" s="16"/>
      <c r="VX68" s="16"/>
      <c r="VY68" s="16"/>
      <c r="VZ68" s="16"/>
      <c r="WA68" s="16"/>
      <c r="WB68" s="16"/>
      <c r="WC68" s="16"/>
      <c r="WD68" s="16"/>
      <c r="WE68" s="16"/>
      <c r="WF68" s="16"/>
      <c r="WG68" s="16"/>
      <c r="WH68" s="16"/>
      <c r="WI68" s="16"/>
      <c r="WJ68" s="16"/>
      <c r="WK68" s="16"/>
      <c r="WL68" s="16"/>
      <c r="WM68" s="16"/>
      <c r="WN68" s="16"/>
      <c r="WO68" s="16"/>
      <c r="WP68" s="16"/>
      <c r="WQ68" s="16"/>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c r="XZ68" s="16"/>
      <c r="YA68" s="16"/>
      <c r="YB68" s="16"/>
      <c r="YC68" s="16"/>
      <c r="YD68" s="16"/>
      <c r="YE68" s="16"/>
      <c r="YF68" s="16"/>
      <c r="YG68" s="16"/>
      <c r="YH68" s="16"/>
      <c r="YI68" s="16"/>
      <c r="YJ68" s="16"/>
      <c r="YK68" s="16"/>
      <c r="YL68" s="16"/>
      <c r="YM68" s="16"/>
      <c r="YN68" s="16"/>
      <c r="YO68" s="16"/>
      <c r="YP68" s="16"/>
      <c r="YQ68" s="16"/>
      <c r="YR68" s="16"/>
      <c r="YS68" s="16"/>
      <c r="YT68" s="16"/>
      <c r="YU68" s="16"/>
      <c r="YV68" s="16"/>
      <c r="YW68" s="16"/>
      <c r="YX68" s="16"/>
      <c r="YY68" s="16"/>
      <c r="YZ68" s="16"/>
      <c r="ZA68" s="16"/>
      <c r="ZB68" s="16"/>
      <c r="ZC68" s="16"/>
      <c r="ZD68" s="16"/>
      <c r="ZE68" s="16"/>
      <c r="ZF68" s="16"/>
      <c r="ZG68" s="16"/>
      <c r="ZH68" s="16"/>
      <c r="ZI68" s="16"/>
      <c r="ZJ68" s="16"/>
      <c r="ZK68" s="16"/>
      <c r="ZL68" s="16"/>
      <c r="ZM68" s="16"/>
      <c r="ZN68" s="16"/>
      <c r="ZO68" s="16"/>
      <c r="ZP68" s="16"/>
      <c r="ZQ68" s="16"/>
      <c r="ZR68" s="16"/>
      <c r="ZS68" s="16"/>
      <c r="ZT68" s="16"/>
      <c r="ZU68" s="16"/>
      <c r="ZV68" s="16"/>
      <c r="ZW68" s="16"/>
      <c r="ZX68" s="16"/>
      <c r="ZY68" s="16"/>
      <c r="ZZ68" s="16"/>
      <c r="AAA68" s="16"/>
      <c r="AAB68" s="16"/>
      <c r="AAC68" s="16"/>
      <c r="AAD68" s="16"/>
      <c r="AAE68" s="16"/>
      <c r="AAF68" s="16"/>
      <c r="AAG68" s="16"/>
      <c r="AAH68" s="16"/>
      <c r="AAI68" s="16"/>
      <c r="AAJ68" s="16"/>
      <c r="AAK68" s="16"/>
      <c r="AAL68" s="16"/>
      <c r="AAM68" s="16"/>
      <c r="AAN68" s="16"/>
      <c r="AAO68" s="16"/>
      <c r="AAP68" s="16"/>
      <c r="AAQ68" s="16"/>
      <c r="AAR68" s="16"/>
      <c r="AAS68" s="16"/>
      <c r="AAT68" s="16"/>
      <c r="AAU68" s="16"/>
      <c r="AAV68" s="16"/>
      <c r="AAW68" s="16"/>
      <c r="AAX68" s="16"/>
      <c r="AAY68" s="16"/>
      <c r="AAZ68" s="16"/>
      <c r="ABA68" s="16"/>
      <c r="ABB68" s="16"/>
      <c r="ABC68" s="16"/>
      <c r="ABD68" s="16"/>
      <c r="ABE68" s="16"/>
      <c r="ABF68" s="16"/>
      <c r="ABG68" s="16"/>
      <c r="ABH68" s="16"/>
      <c r="ABI68" s="16"/>
      <c r="ABJ68" s="16"/>
      <c r="ABK68" s="16"/>
      <c r="ABL68" s="16"/>
      <c r="ABM68" s="16"/>
      <c r="ABN68" s="16"/>
      <c r="ABO68" s="16"/>
      <c r="ABP68" s="16"/>
      <c r="ABQ68" s="16"/>
      <c r="ABR68" s="16"/>
      <c r="ABS68" s="16"/>
      <c r="ABT68" s="16"/>
      <c r="ABU68" s="16"/>
      <c r="ABV68" s="16"/>
      <c r="ABW68" s="16"/>
      <c r="ABX68" s="16"/>
      <c r="ABY68" s="16"/>
      <c r="ABZ68" s="16"/>
      <c r="ACA68" s="16"/>
      <c r="ACB68" s="16"/>
      <c r="ACC68" s="16"/>
      <c r="ACD68" s="16"/>
      <c r="ACE68" s="16"/>
      <c r="ACF68" s="16"/>
      <c r="ACG68" s="16"/>
      <c r="ACH68" s="16"/>
      <c r="ACI68" s="16"/>
      <c r="ACJ68" s="16"/>
      <c r="ACK68" s="16"/>
      <c r="ACL68" s="16"/>
      <c r="ACM68" s="16"/>
      <c r="ACN68" s="16"/>
      <c r="ACO68" s="16"/>
      <c r="ACP68" s="16"/>
      <c r="ACQ68" s="16"/>
      <c r="ACR68" s="16"/>
      <c r="ACS68" s="16"/>
      <c r="ACT68" s="16"/>
      <c r="ACU68" s="16"/>
      <c r="ACV68" s="16"/>
      <c r="ACW68" s="16"/>
      <c r="ACX68" s="16"/>
      <c r="ACY68" s="16"/>
      <c r="ACZ68" s="16"/>
      <c r="ADA68" s="16"/>
      <c r="ADB68" s="16"/>
      <c r="ADC68" s="16"/>
      <c r="ADD68" s="16"/>
      <c r="ADE68" s="16"/>
      <c r="ADF68" s="16"/>
      <c r="ADG68" s="16"/>
      <c r="ADH68" s="16"/>
      <c r="ADI68" s="16"/>
      <c r="ADJ68" s="16"/>
      <c r="ADK68" s="16"/>
      <c r="ADL68" s="16"/>
      <c r="ADM68" s="16"/>
      <c r="ADN68" s="16"/>
      <c r="ADO68" s="16"/>
      <c r="ADP68" s="16"/>
      <c r="ADQ68" s="16"/>
      <c r="ADR68" s="16"/>
      <c r="ADS68" s="16"/>
      <c r="ADT68" s="16"/>
      <c r="ADU68" s="16"/>
      <c r="ADV68" s="16"/>
      <c r="ADW68" s="16"/>
      <c r="ADX68" s="16"/>
      <c r="ADY68" s="16"/>
      <c r="ADZ68" s="16"/>
      <c r="AEA68" s="16"/>
      <c r="AEB68" s="16"/>
      <c r="AEC68" s="16"/>
      <c r="AED68" s="16"/>
      <c r="AEE68" s="16"/>
      <c r="AEF68" s="16"/>
      <c r="AEG68" s="16"/>
      <c r="AEH68" s="16"/>
      <c r="AEI68" s="16"/>
      <c r="AEJ68" s="16"/>
      <c r="AEK68" s="16"/>
      <c r="AEL68" s="16"/>
      <c r="AEM68" s="16"/>
      <c r="AEN68" s="16"/>
      <c r="AEO68" s="16"/>
      <c r="AEP68" s="16"/>
      <c r="AEQ68" s="16"/>
      <c r="AER68" s="16"/>
      <c r="AES68" s="16"/>
      <c r="AET68" s="16"/>
      <c r="AEU68" s="16"/>
      <c r="AEV68" s="16"/>
      <c r="AEW68" s="16"/>
      <c r="AEX68" s="16"/>
      <c r="AEY68" s="16"/>
      <c r="AEZ68" s="16"/>
      <c r="AFA68" s="16"/>
      <c r="AFB68" s="16"/>
      <c r="AFC68" s="16"/>
      <c r="AFD68" s="16"/>
      <c r="AFE68" s="16"/>
      <c r="AFF68" s="16"/>
      <c r="AFG68" s="16"/>
      <c r="AFH68" s="16"/>
      <c r="AFI68" s="16"/>
      <c r="AFJ68" s="16"/>
      <c r="AFK68" s="16"/>
      <c r="AFL68" s="16"/>
      <c r="AFM68" s="16"/>
      <c r="AFN68" s="16"/>
      <c r="AFO68" s="16"/>
      <c r="AFP68" s="16"/>
      <c r="AFQ68" s="16"/>
      <c r="AFR68" s="16"/>
      <c r="AFS68" s="16"/>
      <c r="AFT68" s="16"/>
      <c r="AFU68" s="16"/>
      <c r="AFV68" s="16"/>
      <c r="AFW68" s="16"/>
      <c r="AFX68" s="16"/>
      <c r="AFY68" s="16"/>
      <c r="AFZ68" s="16"/>
      <c r="AGA68" s="16"/>
      <c r="AGB68" s="16"/>
      <c r="AGC68" s="16"/>
      <c r="AGD68" s="16"/>
      <c r="AGE68" s="16"/>
      <c r="AGF68" s="16"/>
    </row>
    <row r="69" spans="1:864" s="6" customFormat="1">
      <c r="A69" s="151" t="s">
        <v>288</v>
      </c>
      <c r="B69" s="34" t="s">
        <v>258</v>
      </c>
      <c r="C69" s="40" t="s">
        <v>139</v>
      </c>
      <c r="D69" s="34" t="s">
        <v>139</v>
      </c>
      <c r="E69" s="257" t="s">
        <v>150</v>
      </c>
      <c r="F69" s="232">
        <v>1</v>
      </c>
      <c r="G69" s="40"/>
      <c r="H69" s="29"/>
      <c r="I69" s="9"/>
      <c r="J69" s="9"/>
      <c r="K69" s="9"/>
      <c r="L69" s="9"/>
      <c r="M69" s="9"/>
      <c r="N69" s="185" t="str">
        <f t="shared" si="1"/>
        <v/>
      </c>
      <c r="O69" s="159" t="str">
        <f t="shared" si="2"/>
        <v/>
      </c>
      <c r="P69" s="63"/>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c r="MK69" s="16"/>
      <c r="ML69" s="16"/>
      <c r="MM69" s="16"/>
      <c r="MN69" s="16"/>
      <c r="MO69" s="16"/>
      <c r="MP69" s="16"/>
      <c r="MQ69" s="16"/>
      <c r="MR69" s="16"/>
      <c r="MS69" s="16"/>
      <c r="MT69" s="16"/>
      <c r="MU69" s="16"/>
      <c r="MV69" s="16"/>
      <c r="MW69" s="16"/>
      <c r="MX69" s="16"/>
      <c r="MY69" s="16"/>
      <c r="MZ69" s="16"/>
      <c r="NA69" s="16"/>
      <c r="NB69" s="16"/>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c r="QE69" s="16"/>
      <c r="QF69" s="16"/>
      <c r="QG69" s="16"/>
      <c r="QH69" s="16"/>
      <c r="QI69" s="16"/>
      <c r="QJ69" s="16"/>
      <c r="QK69" s="16"/>
      <c r="QL69" s="16"/>
      <c r="QM69" s="16"/>
      <c r="QN69" s="16"/>
      <c r="QO69" s="16"/>
      <c r="QP69" s="16"/>
      <c r="QQ69" s="16"/>
      <c r="QR69" s="16"/>
      <c r="QS69" s="16"/>
      <c r="QT69" s="16"/>
      <c r="QU69" s="16"/>
      <c r="QV69" s="16"/>
      <c r="QW69" s="16"/>
      <c r="QX69" s="16"/>
      <c r="QY69" s="16"/>
      <c r="QZ69" s="16"/>
      <c r="RA69" s="16"/>
      <c r="RB69" s="16"/>
      <c r="RC69" s="16"/>
      <c r="RD69" s="16"/>
      <c r="RE69" s="16"/>
      <c r="RF69" s="16"/>
      <c r="RG69" s="16"/>
      <c r="RH69" s="16"/>
      <c r="RI69" s="16"/>
      <c r="RJ69" s="16"/>
      <c r="RK69" s="16"/>
      <c r="RL69" s="16"/>
      <c r="RM69" s="16"/>
      <c r="RN69" s="16"/>
      <c r="RO69" s="16"/>
      <c r="RP69" s="16"/>
      <c r="RQ69" s="16"/>
      <c r="RR69" s="16"/>
      <c r="RS69" s="16"/>
      <c r="RT69" s="16"/>
      <c r="RU69" s="16"/>
      <c r="RV69" s="16"/>
      <c r="RW69" s="16"/>
      <c r="RX69" s="16"/>
      <c r="RY69" s="16"/>
      <c r="RZ69" s="16"/>
      <c r="SA69" s="16"/>
      <c r="SB69" s="16"/>
      <c r="SC69" s="16"/>
      <c r="SD69" s="16"/>
      <c r="SE69" s="16"/>
      <c r="SF69" s="16"/>
      <c r="SG69" s="16"/>
      <c r="SH69" s="16"/>
      <c r="SI69" s="16"/>
      <c r="SJ69" s="16"/>
      <c r="SK69" s="16"/>
      <c r="SL69" s="16"/>
      <c r="SM69" s="16"/>
      <c r="SN69" s="16"/>
      <c r="SO69" s="16"/>
      <c r="SP69" s="16"/>
      <c r="SQ69" s="16"/>
      <c r="SR69" s="16"/>
      <c r="SS69" s="16"/>
      <c r="ST69" s="16"/>
      <c r="SU69" s="16"/>
      <c r="SV69" s="16"/>
      <c r="SW69" s="16"/>
      <c r="SX69" s="16"/>
      <c r="SY69" s="16"/>
      <c r="SZ69" s="16"/>
      <c r="TA69" s="16"/>
      <c r="TB69" s="16"/>
      <c r="TC69" s="16"/>
      <c r="TD69" s="16"/>
      <c r="TE69" s="16"/>
      <c r="TF69" s="16"/>
      <c r="TG69" s="16"/>
      <c r="TH69" s="16"/>
      <c r="TI69" s="16"/>
      <c r="TJ69" s="16"/>
      <c r="TK69" s="16"/>
      <c r="TL69" s="16"/>
      <c r="TM69" s="16"/>
      <c r="TN69" s="16"/>
      <c r="TO69" s="16"/>
      <c r="TP69" s="16"/>
      <c r="TQ69" s="16"/>
      <c r="TR69" s="16"/>
      <c r="TS69" s="16"/>
      <c r="TT69" s="16"/>
      <c r="TU69" s="16"/>
      <c r="TV69" s="16"/>
      <c r="TW69" s="16"/>
      <c r="TX69" s="16"/>
      <c r="TY69" s="16"/>
      <c r="TZ69" s="16"/>
      <c r="UA69" s="16"/>
      <c r="UB69" s="16"/>
      <c r="UC69" s="16"/>
      <c r="UD69" s="16"/>
      <c r="UE69" s="16"/>
      <c r="UF69" s="16"/>
      <c r="UG69" s="16"/>
      <c r="UH69" s="16"/>
      <c r="UI69" s="16"/>
      <c r="UJ69" s="16"/>
      <c r="UK69" s="16"/>
      <c r="UL69" s="16"/>
      <c r="UM69" s="16"/>
      <c r="UN69" s="16"/>
      <c r="UO69" s="16"/>
      <c r="UP69" s="16"/>
      <c r="UQ69" s="16"/>
      <c r="UR69" s="16"/>
      <c r="US69" s="16"/>
      <c r="UT69" s="16"/>
      <c r="UU69" s="16"/>
      <c r="UV69" s="16"/>
      <c r="UW69" s="16"/>
      <c r="UX69" s="16"/>
      <c r="UY69" s="16"/>
      <c r="UZ69" s="16"/>
      <c r="VA69" s="16"/>
      <c r="VB69" s="16"/>
      <c r="VC69" s="16"/>
      <c r="VD69" s="16"/>
      <c r="VE69" s="16"/>
      <c r="VF69" s="16"/>
      <c r="VG69" s="16"/>
      <c r="VH69" s="16"/>
      <c r="VI69" s="16"/>
      <c r="VJ69" s="16"/>
      <c r="VK69" s="16"/>
      <c r="VL69" s="16"/>
      <c r="VM69" s="16"/>
      <c r="VN69" s="16"/>
      <c r="VO69" s="16"/>
      <c r="VP69" s="16"/>
      <c r="VQ69" s="16"/>
      <c r="VR69" s="16"/>
      <c r="VS69" s="16"/>
      <c r="VT69" s="16"/>
      <c r="VU69" s="16"/>
      <c r="VV69" s="16"/>
      <c r="VW69" s="16"/>
      <c r="VX69" s="16"/>
      <c r="VY69" s="16"/>
      <c r="VZ69" s="16"/>
      <c r="WA69" s="16"/>
      <c r="WB69" s="16"/>
      <c r="WC69" s="16"/>
      <c r="WD69" s="16"/>
      <c r="WE69" s="16"/>
      <c r="WF69" s="16"/>
      <c r="WG69" s="16"/>
      <c r="WH69" s="16"/>
      <c r="WI69" s="16"/>
      <c r="WJ69" s="16"/>
      <c r="WK69" s="16"/>
      <c r="WL69" s="16"/>
      <c r="WM69" s="16"/>
      <c r="WN69" s="16"/>
      <c r="WO69" s="16"/>
      <c r="WP69" s="16"/>
      <c r="WQ69" s="16"/>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c r="XZ69" s="16"/>
      <c r="YA69" s="16"/>
      <c r="YB69" s="16"/>
      <c r="YC69" s="16"/>
      <c r="YD69" s="16"/>
      <c r="YE69" s="16"/>
      <c r="YF69" s="16"/>
      <c r="YG69" s="16"/>
      <c r="YH69" s="16"/>
      <c r="YI69" s="16"/>
      <c r="YJ69" s="16"/>
      <c r="YK69" s="16"/>
      <c r="YL69" s="16"/>
      <c r="YM69" s="16"/>
      <c r="YN69" s="16"/>
      <c r="YO69" s="16"/>
      <c r="YP69" s="16"/>
      <c r="YQ69" s="16"/>
      <c r="YR69" s="16"/>
      <c r="YS69" s="16"/>
      <c r="YT69" s="16"/>
      <c r="YU69" s="16"/>
      <c r="YV69" s="16"/>
      <c r="YW69" s="16"/>
      <c r="YX69" s="16"/>
      <c r="YY69" s="16"/>
      <c r="YZ69" s="16"/>
      <c r="ZA69" s="16"/>
      <c r="ZB69" s="16"/>
      <c r="ZC69" s="16"/>
      <c r="ZD69" s="16"/>
      <c r="ZE69" s="16"/>
      <c r="ZF69" s="16"/>
      <c r="ZG69" s="16"/>
      <c r="ZH69" s="16"/>
      <c r="ZI69" s="16"/>
      <c r="ZJ69" s="16"/>
      <c r="ZK69" s="16"/>
      <c r="ZL69" s="16"/>
      <c r="ZM69" s="16"/>
      <c r="ZN69" s="16"/>
      <c r="ZO69" s="16"/>
      <c r="ZP69" s="16"/>
      <c r="ZQ69" s="16"/>
      <c r="ZR69" s="16"/>
      <c r="ZS69" s="16"/>
      <c r="ZT69" s="16"/>
      <c r="ZU69" s="16"/>
      <c r="ZV69" s="16"/>
      <c r="ZW69" s="16"/>
      <c r="ZX69" s="16"/>
      <c r="ZY69" s="16"/>
      <c r="ZZ69" s="16"/>
      <c r="AAA69" s="16"/>
      <c r="AAB69" s="16"/>
      <c r="AAC69" s="16"/>
      <c r="AAD69" s="16"/>
      <c r="AAE69" s="16"/>
      <c r="AAF69" s="16"/>
      <c r="AAG69" s="16"/>
      <c r="AAH69" s="16"/>
      <c r="AAI69" s="16"/>
      <c r="AAJ69" s="16"/>
      <c r="AAK69" s="16"/>
      <c r="AAL69" s="16"/>
      <c r="AAM69" s="16"/>
      <c r="AAN69" s="16"/>
      <c r="AAO69" s="16"/>
      <c r="AAP69" s="16"/>
      <c r="AAQ69" s="16"/>
      <c r="AAR69" s="16"/>
      <c r="AAS69" s="16"/>
      <c r="AAT69" s="16"/>
      <c r="AAU69" s="16"/>
      <c r="AAV69" s="16"/>
      <c r="AAW69" s="16"/>
      <c r="AAX69" s="16"/>
      <c r="AAY69" s="16"/>
      <c r="AAZ69" s="16"/>
      <c r="ABA69" s="16"/>
      <c r="ABB69" s="16"/>
      <c r="ABC69" s="16"/>
      <c r="ABD69" s="16"/>
      <c r="ABE69" s="16"/>
      <c r="ABF69" s="16"/>
      <c r="ABG69" s="16"/>
      <c r="ABH69" s="16"/>
      <c r="ABI69" s="16"/>
      <c r="ABJ69" s="16"/>
      <c r="ABK69" s="16"/>
      <c r="ABL69" s="16"/>
      <c r="ABM69" s="16"/>
      <c r="ABN69" s="16"/>
      <c r="ABO69" s="16"/>
      <c r="ABP69" s="16"/>
      <c r="ABQ69" s="16"/>
      <c r="ABR69" s="16"/>
      <c r="ABS69" s="16"/>
      <c r="ABT69" s="16"/>
      <c r="ABU69" s="16"/>
      <c r="ABV69" s="16"/>
      <c r="ABW69" s="16"/>
      <c r="ABX69" s="16"/>
      <c r="ABY69" s="16"/>
      <c r="ABZ69" s="16"/>
      <c r="ACA69" s="16"/>
      <c r="ACB69" s="16"/>
      <c r="ACC69" s="16"/>
      <c r="ACD69" s="16"/>
      <c r="ACE69" s="16"/>
      <c r="ACF69" s="16"/>
      <c r="ACG69" s="16"/>
      <c r="ACH69" s="16"/>
      <c r="ACI69" s="16"/>
      <c r="ACJ69" s="16"/>
      <c r="ACK69" s="16"/>
      <c r="ACL69" s="16"/>
      <c r="ACM69" s="16"/>
      <c r="ACN69" s="16"/>
      <c r="ACO69" s="16"/>
      <c r="ACP69" s="16"/>
      <c r="ACQ69" s="16"/>
      <c r="ACR69" s="16"/>
      <c r="ACS69" s="16"/>
      <c r="ACT69" s="16"/>
      <c r="ACU69" s="16"/>
      <c r="ACV69" s="16"/>
      <c r="ACW69" s="16"/>
      <c r="ACX69" s="16"/>
      <c r="ACY69" s="16"/>
      <c r="ACZ69" s="16"/>
      <c r="ADA69" s="16"/>
      <c r="ADB69" s="16"/>
      <c r="ADC69" s="16"/>
      <c r="ADD69" s="16"/>
      <c r="ADE69" s="16"/>
      <c r="ADF69" s="16"/>
      <c r="ADG69" s="16"/>
      <c r="ADH69" s="16"/>
      <c r="ADI69" s="16"/>
      <c r="ADJ69" s="16"/>
      <c r="ADK69" s="16"/>
      <c r="ADL69" s="16"/>
      <c r="ADM69" s="16"/>
      <c r="ADN69" s="16"/>
      <c r="ADO69" s="16"/>
      <c r="ADP69" s="16"/>
      <c r="ADQ69" s="16"/>
      <c r="ADR69" s="16"/>
      <c r="ADS69" s="16"/>
      <c r="ADT69" s="16"/>
      <c r="ADU69" s="16"/>
      <c r="ADV69" s="16"/>
      <c r="ADW69" s="16"/>
      <c r="ADX69" s="16"/>
      <c r="ADY69" s="16"/>
      <c r="ADZ69" s="16"/>
      <c r="AEA69" s="16"/>
      <c r="AEB69" s="16"/>
      <c r="AEC69" s="16"/>
      <c r="AED69" s="16"/>
      <c r="AEE69" s="16"/>
      <c r="AEF69" s="16"/>
      <c r="AEG69" s="16"/>
      <c r="AEH69" s="16"/>
      <c r="AEI69" s="16"/>
      <c r="AEJ69" s="16"/>
      <c r="AEK69" s="16"/>
      <c r="AEL69" s="16"/>
      <c r="AEM69" s="16"/>
      <c r="AEN69" s="16"/>
      <c r="AEO69" s="16"/>
      <c r="AEP69" s="16"/>
      <c r="AEQ69" s="16"/>
      <c r="AER69" s="16"/>
      <c r="AES69" s="16"/>
      <c r="AET69" s="16"/>
      <c r="AEU69" s="16"/>
      <c r="AEV69" s="16"/>
      <c r="AEW69" s="16"/>
      <c r="AEX69" s="16"/>
      <c r="AEY69" s="16"/>
      <c r="AEZ69" s="16"/>
      <c r="AFA69" s="16"/>
      <c r="AFB69" s="16"/>
      <c r="AFC69" s="16"/>
      <c r="AFD69" s="16"/>
      <c r="AFE69" s="16"/>
      <c r="AFF69" s="16"/>
      <c r="AFG69" s="16"/>
      <c r="AFH69" s="16"/>
      <c r="AFI69" s="16"/>
      <c r="AFJ69" s="16"/>
      <c r="AFK69" s="16"/>
      <c r="AFL69" s="16"/>
      <c r="AFM69" s="16"/>
      <c r="AFN69" s="16"/>
      <c r="AFO69" s="16"/>
      <c r="AFP69" s="16"/>
      <c r="AFQ69" s="16"/>
      <c r="AFR69" s="16"/>
      <c r="AFS69" s="16"/>
      <c r="AFT69" s="16"/>
      <c r="AFU69" s="16"/>
      <c r="AFV69" s="16"/>
      <c r="AFW69" s="16"/>
      <c r="AFX69" s="16"/>
      <c r="AFY69" s="16"/>
      <c r="AFZ69" s="16"/>
      <c r="AGA69" s="16"/>
      <c r="AGB69" s="16"/>
      <c r="AGC69" s="16"/>
      <c r="AGD69" s="16"/>
      <c r="AGE69" s="16"/>
      <c r="AGF69" s="16"/>
    </row>
    <row r="70" spans="1:864" s="210" customFormat="1" ht="15" thickBot="1">
      <c r="A70" s="151" t="s">
        <v>401</v>
      </c>
      <c r="B70" s="34" t="s">
        <v>288</v>
      </c>
      <c r="C70" s="40" t="s">
        <v>139</v>
      </c>
      <c r="D70" s="34" t="s">
        <v>139</v>
      </c>
      <c r="E70" s="257">
        <v>0</v>
      </c>
      <c r="F70" s="232">
        <v>2</v>
      </c>
      <c r="G70" s="40" t="s">
        <v>415</v>
      </c>
      <c r="H70" s="29"/>
      <c r="I70" s="9"/>
      <c r="J70" s="9"/>
      <c r="K70" s="9"/>
      <c r="L70" s="9"/>
      <c r="M70" s="9"/>
      <c r="N70" s="185" t="str">
        <f t="shared" si="1"/>
        <v/>
      </c>
      <c r="O70" s="159" t="str">
        <f t="shared" si="2"/>
        <v/>
      </c>
      <c r="P70" s="63" t="s">
        <v>417</v>
      </c>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c r="MP70" s="16"/>
      <c r="MQ70" s="16"/>
      <c r="MR70" s="16"/>
      <c r="MS70" s="16"/>
      <c r="MT70" s="16"/>
      <c r="MU70" s="16"/>
      <c r="MV70" s="16"/>
      <c r="MW70" s="16"/>
      <c r="MX70" s="16"/>
      <c r="MY70" s="16"/>
      <c r="MZ70" s="16"/>
      <c r="NA70" s="16"/>
      <c r="NB70" s="16"/>
      <c r="NC70" s="16"/>
      <c r="ND70" s="16"/>
      <c r="NE70" s="16"/>
      <c r="NF70" s="16"/>
      <c r="NG70" s="16"/>
      <c r="NH70" s="16"/>
      <c r="NI70" s="16"/>
      <c r="NJ70" s="16"/>
      <c r="NK70" s="16"/>
      <c r="NL70" s="16"/>
      <c r="NM70" s="16"/>
      <c r="NN70" s="16"/>
      <c r="NO70" s="16"/>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c r="OP70" s="16"/>
      <c r="OQ70" s="16"/>
      <c r="OR70" s="16"/>
      <c r="OS70" s="16"/>
      <c r="OT70" s="16"/>
      <c r="OU70" s="16"/>
      <c r="OV70" s="16"/>
      <c r="OW70" s="16"/>
      <c r="OX70" s="16"/>
      <c r="OY70" s="16"/>
      <c r="OZ70" s="16"/>
      <c r="PA70" s="16"/>
      <c r="PB70" s="16"/>
      <c r="PC70" s="16"/>
      <c r="PD70" s="16"/>
      <c r="PE70" s="16"/>
      <c r="PF70" s="16"/>
      <c r="PG70" s="16"/>
      <c r="PH70" s="16"/>
      <c r="PI70" s="16"/>
      <c r="PJ70" s="16"/>
      <c r="PK70" s="16"/>
      <c r="PL70" s="16"/>
      <c r="PM70" s="16"/>
      <c r="PN70" s="16"/>
      <c r="PO70" s="16"/>
      <c r="PP70" s="16"/>
      <c r="PQ70" s="16"/>
      <c r="PR70" s="16"/>
      <c r="PS70" s="16"/>
      <c r="PT70" s="16"/>
      <c r="PU70" s="16"/>
      <c r="PV70" s="16"/>
      <c r="PW70" s="16"/>
      <c r="PX70" s="16"/>
      <c r="PY70" s="16"/>
      <c r="PZ70" s="16"/>
      <c r="QA70" s="16"/>
      <c r="QB70" s="16"/>
      <c r="QC70" s="16"/>
      <c r="QD70" s="16"/>
      <c r="QE70" s="16"/>
      <c r="QF70" s="16"/>
      <c r="QG70" s="16"/>
      <c r="QH70" s="16"/>
      <c r="QI70" s="16"/>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6"/>
      <c r="TT70" s="16"/>
      <c r="TU70" s="16"/>
      <c r="TV70" s="16"/>
      <c r="TW70" s="16"/>
      <c r="TX70" s="16"/>
      <c r="TY70" s="16"/>
      <c r="TZ70" s="16"/>
      <c r="UA70" s="16"/>
      <c r="UB70" s="16"/>
      <c r="UC70" s="16"/>
      <c r="UD70" s="16"/>
      <c r="UE70" s="16"/>
      <c r="UF70" s="16"/>
      <c r="UG70" s="16"/>
      <c r="UH70" s="16"/>
      <c r="UI70" s="16"/>
      <c r="UJ70" s="16"/>
      <c r="UK70" s="16"/>
      <c r="UL70" s="16"/>
      <c r="UM70" s="16"/>
      <c r="UN70" s="16"/>
      <c r="UO70" s="16"/>
      <c r="UP70" s="16"/>
      <c r="UQ70" s="16"/>
      <c r="UR70" s="16"/>
      <c r="US70" s="16"/>
      <c r="UT70" s="16"/>
      <c r="UU70" s="16"/>
      <c r="UV70" s="16"/>
      <c r="UW70" s="16"/>
      <c r="UX70" s="16"/>
      <c r="UY70" s="16"/>
      <c r="UZ70" s="16"/>
      <c r="VA70" s="16"/>
      <c r="VB70" s="16"/>
      <c r="VC70" s="16"/>
      <c r="VD70" s="16"/>
      <c r="VE70" s="16"/>
      <c r="VF70" s="16"/>
      <c r="VG70" s="16"/>
      <c r="VH70" s="16"/>
      <c r="VI70" s="16"/>
      <c r="VJ70" s="16"/>
      <c r="VK70" s="16"/>
      <c r="VL70" s="16"/>
      <c r="VM70" s="16"/>
      <c r="VN70" s="16"/>
      <c r="VO70" s="16"/>
      <c r="VP70" s="16"/>
      <c r="VQ70" s="16"/>
      <c r="VR70" s="16"/>
      <c r="VS70" s="16"/>
      <c r="VT70" s="16"/>
      <c r="VU70" s="16"/>
      <c r="VV70" s="16"/>
      <c r="VW70" s="16"/>
      <c r="VX70" s="16"/>
      <c r="VY70" s="16"/>
      <c r="VZ70" s="16"/>
      <c r="WA70" s="16"/>
      <c r="WB70" s="16"/>
      <c r="WC70" s="16"/>
      <c r="WD70" s="16"/>
      <c r="WE70" s="16"/>
      <c r="WF70" s="16"/>
      <c r="WG70" s="16"/>
      <c r="WH70" s="16"/>
      <c r="WI70" s="16"/>
      <c r="WJ70" s="16"/>
      <c r="WK70" s="16"/>
      <c r="WL70" s="16"/>
      <c r="WM70" s="16"/>
      <c r="WN70" s="16"/>
      <c r="WO70" s="16"/>
      <c r="WP70" s="16"/>
      <c r="WQ70" s="16"/>
      <c r="WR70" s="16"/>
      <c r="WS70" s="16"/>
      <c r="WT70" s="16"/>
      <c r="WU70" s="16"/>
      <c r="WV70" s="16"/>
      <c r="WW70" s="16"/>
      <c r="WX70" s="16"/>
      <c r="WY70" s="16"/>
      <c r="WZ70" s="16"/>
      <c r="XA70" s="16"/>
      <c r="XB70" s="16"/>
      <c r="XC70" s="16"/>
      <c r="XD70" s="16"/>
      <c r="XE70" s="16"/>
      <c r="XF70" s="16"/>
      <c r="XG70" s="16"/>
      <c r="XH70" s="16"/>
      <c r="XI70" s="16"/>
      <c r="XJ70" s="16"/>
      <c r="XK70" s="16"/>
      <c r="XL70" s="16"/>
      <c r="XM70" s="16"/>
      <c r="XN70" s="16"/>
      <c r="XO70" s="16"/>
      <c r="XP70" s="16"/>
      <c r="XQ70" s="16"/>
      <c r="XR70" s="16"/>
      <c r="XS70" s="16"/>
      <c r="XT70" s="16"/>
      <c r="XU70" s="16"/>
      <c r="XV70" s="16"/>
      <c r="XW70" s="16"/>
      <c r="XX70" s="16"/>
      <c r="XY70" s="16"/>
      <c r="XZ70" s="16"/>
      <c r="YA70" s="16"/>
      <c r="YB70" s="16"/>
      <c r="YC70" s="16"/>
      <c r="YD70" s="16"/>
      <c r="YE70" s="16"/>
      <c r="YF70" s="16"/>
      <c r="YG70" s="16"/>
      <c r="YH70" s="16"/>
      <c r="YI70" s="16"/>
      <c r="YJ70" s="16"/>
      <c r="YK70" s="16"/>
      <c r="YL70" s="16"/>
      <c r="YM70" s="16"/>
      <c r="YN70" s="16"/>
      <c r="YO70" s="16"/>
      <c r="YP70" s="16"/>
      <c r="YQ70" s="16"/>
      <c r="YR70" s="16"/>
      <c r="YS70" s="16"/>
      <c r="YT70" s="16"/>
      <c r="YU70" s="16"/>
      <c r="YV70" s="16"/>
      <c r="YW70" s="16"/>
      <c r="YX70" s="16"/>
      <c r="YY70" s="16"/>
      <c r="YZ70" s="16"/>
      <c r="ZA70" s="16"/>
      <c r="ZB70" s="16"/>
      <c r="ZC70" s="16"/>
      <c r="ZD70" s="16"/>
      <c r="ZE70" s="16"/>
      <c r="ZF70" s="16"/>
      <c r="ZG70" s="16"/>
      <c r="ZH70" s="16"/>
      <c r="ZI70" s="16"/>
      <c r="ZJ70" s="16"/>
      <c r="ZK70" s="16"/>
      <c r="ZL70" s="16"/>
      <c r="ZM70" s="16"/>
      <c r="ZN70" s="16"/>
      <c r="ZO70" s="16"/>
      <c r="ZP70" s="16"/>
      <c r="ZQ70" s="16"/>
      <c r="ZR70" s="16"/>
      <c r="ZS70" s="16"/>
      <c r="ZT70" s="16"/>
      <c r="ZU70" s="16"/>
      <c r="ZV70" s="16"/>
      <c r="ZW70" s="16"/>
      <c r="ZX70" s="16"/>
      <c r="ZY70" s="16"/>
      <c r="ZZ70" s="16"/>
      <c r="AAA70" s="16"/>
      <c r="AAB70" s="16"/>
      <c r="AAC70" s="16"/>
      <c r="AAD70" s="16"/>
      <c r="AAE70" s="16"/>
      <c r="AAF70" s="16"/>
      <c r="AAG70" s="16"/>
      <c r="AAH70" s="16"/>
      <c r="AAI70" s="16"/>
      <c r="AAJ70" s="16"/>
      <c r="AAK70" s="16"/>
      <c r="AAL70" s="16"/>
      <c r="AAM70" s="16"/>
      <c r="AAN70" s="16"/>
      <c r="AAO70" s="16"/>
      <c r="AAP70" s="16"/>
      <c r="AAQ70" s="16"/>
      <c r="AAR70" s="16"/>
      <c r="AAS70" s="16"/>
      <c r="AAT70" s="16"/>
      <c r="AAU70" s="16"/>
      <c r="AAV70" s="16"/>
      <c r="AAW70" s="16"/>
      <c r="AAX70" s="16"/>
      <c r="AAY70" s="16"/>
      <c r="AAZ70" s="16"/>
      <c r="ABA70" s="16"/>
      <c r="ABB70" s="16"/>
      <c r="ABC70" s="16"/>
      <c r="ABD70" s="16"/>
      <c r="ABE70" s="16"/>
      <c r="ABF70" s="16"/>
      <c r="ABG70" s="16"/>
      <c r="ABH70" s="16"/>
      <c r="ABI70" s="16"/>
      <c r="ABJ70" s="16"/>
      <c r="ABK70" s="16"/>
      <c r="ABL70" s="16"/>
      <c r="ABM70" s="16"/>
      <c r="ABN70" s="16"/>
      <c r="ABO70" s="16"/>
      <c r="ABP70" s="16"/>
      <c r="ABQ70" s="16"/>
      <c r="ABR70" s="16"/>
      <c r="ABS70" s="16"/>
      <c r="ABT70" s="16"/>
      <c r="ABU70" s="16"/>
      <c r="ABV70" s="16"/>
      <c r="ABW70" s="16"/>
      <c r="ABX70" s="16"/>
      <c r="ABY70" s="16"/>
      <c r="ABZ70" s="16"/>
      <c r="ACA70" s="16"/>
      <c r="ACB70" s="16"/>
      <c r="ACC70" s="16"/>
      <c r="ACD70" s="16"/>
      <c r="ACE70" s="16"/>
      <c r="ACF70" s="16"/>
      <c r="ACG70" s="16"/>
      <c r="ACH70" s="16"/>
      <c r="ACI70" s="16"/>
      <c r="ACJ70" s="16"/>
      <c r="ACK70" s="16"/>
      <c r="ACL70" s="16"/>
      <c r="ACM70" s="16"/>
      <c r="ACN70" s="16"/>
      <c r="ACO70" s="16"/>
      <c r="ACP70" s="16"/>
      <c r="ACQ70" s="16"/>
      <c r="ACR70" s="16"/>
      <c r="ACS70" s="16"/>
      <c r="ACT70" s="16"/>
      <c r="ACU70" s="16"/>
      <c r="ACV70" s="16"/>
      <c r="ACW70" s="16"/>
      <c r="ACX70" s="16"/>
      <c r="ACY70" s="16"/>
      <c r="ACZ70" s="16"/>
      <c r="ADA70" s="16"/>
      <c r="ADB70" s="16"/>
      <c r="ADC70" s="16"/>
      <c r="ADD70" s="16"/>
      <c r="ADE70" s="16"/>
      <c r="ADF70" s="16"/>
      <c r="ADG70" s="16"/>
      <c r="ADH70" s="16"/>
      <c r="ADI70" s="16"/>
      <c r="ADJ70" s="16"/>
      <c r="ADK70" s="16"/>
      <c r="ADL70" s="16"/>
      <c r="ADM70" s="16"/>
      <c r="ADN70" s="16"/>
      <c r="ADO70" s="16"/>
      <c r="ADP70" s="16"/>
      <c r="ADQ70" s="16"/>
      <c r="ADR70" s="16"/>
      <c r="ADS70" s="16"/>
      <c r="ADT70" s="16"/>
      <c r="ADU70" s="16"/>
      <c r="ADV70" s="16"/>
      <c r="ADW70" s="16"/>
      <c r="ADX70" s="16"/>
      <c r="ADY70" s="16"/>
      <c r="ADZ70" s="16"/>
      <c r="AEA70" s="16"/>
      <c r="AEB70" s="16"/>
      <c r="AEC70" s="16"/>
      <c r="AED70" s="16"/>
      <c r="AEE70" s="16"/>
      <c r="AEF70" s="16"/>
      <c r="AEG70" s="16"/>
      <c r="AEH70" s="16"/>
      <c r="AEI70" s="16"/>
      <c r="AEJ70" s="16"/>
      <c r="AEK70" s="16"/>
      <c r="AEL70" s="16"/>
      <c r="AEM70" s="16"/>
      <c r="AEN70" s="16"/>
      <c r="AEO70" s="16"/>
      <c r="AEP70" s="16"/>
      <c r="AEQ70" s="16"/>
      <c r="AER70" s="16"/>
      <c r="AES70" s="16"/>
      <c r="AET70" s="16"/>
      <c r="AEU70" s="16"/>
      <c r="AEV70" s="16"/>
      <c r="AEW70" s="16"/>
      <c r="AEX70" s="16"/>
      <c r="AEY70" s="16"/>
      <c r="AEZ70" s="16"/>
      <c r="AFA70" s="16"/>
      <c r="AFB70" s="16"/>
      <c r="AFC70" s="16"/>
      <c r="AFD70" s="16"/>
      <c r="AFE70" s="16"/>
      <c r="AFF70" s="16"/>
      <c r="AFG70" s="16"/>
      <c r="AFH70" s="16"/>
      <c r="AFI70" s="16"/>
      <c r="AFJ70" s="16"/>
      <c r="AFK70" s="16"/>
      <c r="AFL70" s="16"/>
      <c r="AFM70" s="16"/>
      <c r="AFN70" s="16"/>
      <c r="AFO70" s="16"/>
      <c r="AFP70" s="16"/>
      <c r="AFQ70" s="16"/>
      <c r="AFR70" s="16"/>
      <c r="AFS70" s="16"/>
      <c r="AFT70" s="16"/>
      <c r="AFU70" s="16"/>
      <c r="AFV70" s="16"/>
      <c r="AFW70" s="16"/>
      <c r="AFX70" s="16"/>
      <c r="AFY70" s="16"/>
      <c r="AFZ70" s="16"/>
      <c r="AGA70" s="16"/>
      <c r="AGB70" s="16"/>
      <c r="AGC70" s="16"/>
      <c r="AGD70" s="16"/>
      <c r="AGE70" s="16"/>
      <c r="AGF70" s="16"/>
    </row>
    <row r="72" spans="1:864" s="6" customFormat="1">
      <c r="A72" s="151" t="s">
        <v>209</v>
      </c>
      <c r="B72" s="34" t="s">
        <v>210</v>
      </c>
      <c r="C72" s="40" t="s">
        <v>139</v>
      </c>
      <c r="D72" s="34" t="s">
        <v>139</v>
      </c>
      <c r="E72" s="257">
        <v>0.08</v>
      </c>
      <c r="F72" s="232">
        <v>2</v>
      </c>
      <c r="G72" s="40" t="s">
        <v>211</v>
      </c>
      <c r="H72" s="29">
        <v>1</v>
      </c>
      <c r="I72" s="9">
        <v>2</v>
      </c>
      <c r="J72" s="9">
        <v>3</v>
      </c>
      <c r="K72" s="9">
        <v>2</v>
      </c>
      <c r="L72" s="9">
        <v>3</v>
      </c>
      <c r="M72" s="9">
        <v>1</v>
      </c>
      <c r="N72" s="185">
        <v>0.50042652380814845</v>
      </c>
      <c r="O72" s="159">
        <v>0.51126068492676302</v>
      </c>
      <c r="P72" s="63" t="s">
        <v>212</v>
      </c>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16"/>
      <c r="UA72" s="16"/>
      <c r="UB72" s="16"/>
      <c r="UC72" s="16"/>
      <c r="UD72" s="16"/>
      <c r="UE72" s="16"/>
      <c r="UF72" s="16"/>
      <c r="UG72" s="16"/>
      <c r="UH72" s="16"/>
      <c r="UI72" s="16"/>
      <c r="UJ72" s="16"/>
      <c r="UK72" s="16"/>
      <c r="UL72" s="16"/>
      <c r="UM72" s="16"/>
      <c r="UN72" s="16"/>
      <c r="UO72" s="16"/>
      <c r="UP72" s="16"/>
      <c r="UQ72" s="16"/>
      <c r="UR72" s="16"/>
      <c r="US72" s="16"/>
      <c r="UT72" s="16"/>
      <c r="UU72" s="16"/>
      <c r="UV72" s="16"/>
      <c r="UW72" s="16"/>
      <c r="UX72" s="16"/>
      <c r="UY72" s="16"/>
      <c r="UZ72" s="16"/>
      <c r="VA72" s="16"/>
      <c r="VB72" s="16"/>
      <c r="VC72" s="16"/>
      <c r="VD72" s="16"/>
      <c r="VE72" s="16"/>
      <c r="VF72" s="16"/>
      <c r="VG72" s="16"/>
      <c r="VH72" s="16"/>
      <c r="VI72" s="16"/>
      <c r="VJ72" s="16"/>
      <c r="VK72" s="16"/>
      <c r="VL72" s="16"/>
      <c r="VM72" s="16"/>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16"/>
      <c r="ZY72" s="16"/>
      <c r="ZZ72" s="16"/>
      <c r="AAA72" s="16"/>
      <c r="AAB72" s="16"/>
      <c r="AAC72" s="16"/>
      <c r="AAD72" s="16"/>
      <c r="AAE72" s="16"/>
      <c r="AAF72" s="16"/>
      <c r="AAG72" s="16"/>
      <c r="AAH72" s="16"/>
      <c r="AAI72" s="16"/>
      <c r="AAJ72" s="16"/>
      <c r="AAK72" s="16"/>
      <c r="AAL72" s="16"/>
      <c r="AAM72" s="16"/>
      <c r="AAN72" s="16"/>
      <c r="AAO72" s="16"/>
      <c r="AAP72" s="16"/>
      <c r="AAQ72" s="16"/>
      <c r="AAR72" s="16"/>
      <c r="AAS72" s="16"/>
      <c r="AAT72" s="16"/>
      <c r="AAU72" s="16"/>
      <c r="AAV72" s="16"/>
      <c r="AAW72" s="16"/>
      <c r="AAX72" s="16"/>
      <c r="AAY72" s="16"/>
      <c r="AAZ72" s="16"/>
      <c r="ABA72" s="16"/>
      <c r="ABB72" s="16"/>
      <c r="ABC72" s="16"/>
      <c r="ABD72" s="16"/>
      <c r="ABE72" s="16"/>
      <c r="ABF72" s="16"/>
      <c r="ABG72" s="16"/>
      <c r="ABH72" s="16"/>
      <c r="ABI72" s="16"/>
      <c r="ABJ72" s="16"/>
      <c r="ABK72" s="16"/>
      <c r="ABL72" s="16"/>
      <c r="ABM72" s="16"/>
      <c r="ABN72" s="16"/>
      <c r="ABO72" s="16"/>
      <c r="ABP72" s="16"/>
      <c r="ABQ72" s="16"/>
      <c r="ABR72" s="16"/>
      <c r="ABS72" s="16"/>
      <c r="ABT72" s="16"/>
      <c r="ABU72" s="16"/>
      <c r="ABV72" s="16"/>
      <c r="ABW72" s="16"/>
      <c r="ABX72" s="16"/>
      <c r="ABY72" s="16"/>
      <c r="ABZ72" s="16"/>
      <c r="ACA72" s="16"/>
      <c r="ACB72" s="16"/>
      <c r="ACC72" s="16"/>
      <c r="ACD72" s="16"/>
      <c r="ACE72" s="16"/>
      <c r="ACF72" s="16"/>
      <c r="ACG72" s="16"/>
      <c r="ACH72" s="16"/>
      <c r="ACI72" s="16"/>
      <c r="ACJ72" s="16"/>
      <c r="ACK72" s="16"/>
      <c r="ACL72" s="16"/>
      <c r="ACM72" s="16"/>
      <c r="ACN72" s="16"/>
      <c r="ACO72" s="16"/>
      <c r="ACP72" s="16"/>
      <c r="ACQ72" s="16"/>
      <c r="ACR72" s="16"/>
      <c r="ACS72" s="16"/>
      <c r="ACT72" s="16"/>
      <c r="ACU72" s="16"/>
      <c r="ACV72" s="16"/>
      <c r="ACW72" s="16"/>
      <c r="ACX72" s="16"/>
      <c r="ACY72" s="16"/>
      <c r="ACZ72" s="16"/>
      <c r="ADA72" s="16"/>
      <c r="ADB72" s="16"/>
      <c r="ADC72" s="16"/>
      <c r="ADD72" s="16"/>
      <c r="ADE72" s="16"/>
      <c r="ADF72" s="16"/>
      <c r="ADG72" s="16"/>
      <c r="ADH72" s="16"/>
      <c r="ADI72" s="16"/>
      <c r="ADJ72" s="16"/>
      <c r="ADK72" s="16"/>
      <c r="ADL72" s="16"/>
      <c r="ADM72" s="16"/>
      <c r="ADN72" s="16"/>
      <c r="ADO72" s="16"/>
      <c r="ADP72" s="16"/>
      <c r="ADQ72" s="16"/>
      <c r="ADR72" s="16"/>
      <c r="ADS72" s="16"/>
      <c r="ADT72" s="16"/>
      <c r="ADU72" s="16"/>
      <c r="ADV72" s="16"/>
      <c r="ADW72" s="16"/>
      <c r="ADX72" s="16"/>
      <c r="ADY72" s="16"/>
      <c r="ADZ72" s="16"/>
      <c r="AEA72" s="16"/>
      <c r="AEB72" s="16"/>
      <c r="AEC72" s="16"/>
      <c r="AED72" s="16"/>
      <c r="AEE72" s="16"/>
      <c r="AEF72" s="16"/>
      <c r="AEG72" s="16"/>
      <c r="AEH72" s="16"/>
      <c r="AEI72" s="16"/>
      <c r="AEJ72" s="16"/>
      <c r="AEK72" s="16"/>
      <c r="AEL72" s="16"/>
      <c r="AEM72" s="16"/>
      <c r="AEN72" s="16"/>
      <c r="AEO72" s="16"/>
      <c r="AEP72" s="16"/>
      <c r="AEQ72" s="16"/>
      <c r="AER72" s="16"/>
      <c r="AES72" s="16"/>
      <c r="AET72" s="16"/>
      <c r="AEU72" s="16"/>
      <c r="AEV72" s="16"/>
      <c r="AEW72" s="16"/>
      <c r="AEX72" s="16"/>
      <c r="AEY72" s="16"/>
      <c r="AEZ72" s="16"/>
      <c r="AFA72" s="16"/>
      <c r="AFB72" s="16"/>
      <c r="AFC72" s="16"/>
      <c r="AFD72" s="16"/>
      <c r="AFE72" s="16"/>
      <c r="AFF72" s="16"/>
      <c r="AFG72" s="16"/>
      <c r="AFH72" s="16"/>
      <c r="AFI72" s="16"/>
      <c r="AFJ72" s="16"/>
      <c r="AFK72" s="16"/>
      <c r="AFL72" s="16"/>
      <c r="AFM72" s="16"/>
      <c r="AFN72" s="16"/>
      <c r="AFO72" s="16"/>
      <c r="AFP72" s="16"/>
      <c r="AFQ72" s="16"/>
      <c r="AFR72" s="16"/>
      <c r="AFS72" s="16"/>
      <c r="AFT72" s="16"/>
      <c r="AFU72" s="16"/>
      <c r="AFV72" s="16"/>
      <c r="AFW72" s="16"/>
      <c r="AFX72" s="16"/>
      <c r="AFY72" s="16"/>
      <c r="AFZ72" s="16"/>
      <c r="AGA72" s="16"/>
      <c r="AGB72" s="16"/>
      <c r="AGC72" s="16"/>
      <c r="AGD72" s="16"/>
      <c r="AGE72" s="16"/>
      <c r="AGF72" s="16"/>
    </row>
    <row r="73" spans="1:864" s="6" customFormat="1">
      <c r="A73" s="151" t="s">
        <v>209</v>
      </c>
      <c r="B73" s="34" t="s">
        <v>210</v>
      </c>
      <c r="C73" s="40" t="s">
        <v>139</v>
      </c>
      <c r="D73" s="34" t="s">
        <v>139</v>
      </c>
      <c r="E73" s="257">
        <v>3.2000000000000001E-2</v>
      </c>
      <c r="F73" s="232">
        <v>2</v>
      </c>
      <c r="G73" s="40" t="s">
        <v>213</v>
      </c>
      <c r="H73" s="29">
        <v>2</v>
      </c>
      <c r="I73" s="9">
        <v>2</v>
      </c>
      <c r="J73" s="9">
        <v>3</v>
      </c>
      <c r="K73" s="9">
        <v>3</v>
      </c>
      <c r="L73" s="9">
        <v>3</v>
      </c>
      <c r="M73" s="9">
        <v>3</v>
      </c>
      <c r="N73" s="185">
        <v>1.1713319510247036</v>
      </c>
      <c r="O73" s="159">
        <v>1.1713319510247036</v>
      </c>
      <c r="P73" s="63" t="s">
        <v>212</v>
      </c>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6"/>
      <c r="MI73" s="16"/>
      <c r="MJ73" s="16"/>
      <c r="MK73" s="16"/>
      <c r="ML73" s="16"/>
      <c r="MM73" s="16"/>
      <c r="MN73" s="16"/>
      <c r="MO73" s="16"/>
      <c r="MP73" s="16"/>
      <c r="MQ73" s="16"/>
      <c r="MR73" s="16"/>
      <c r="MS73" s="16"/>
      <c r="MT73" s="16"/>
      <c r="MU73" s="16"/>
      <c r="MV73" s="16"/>
      <c r="MW73" s="16"/>
      <c r="MX73" s="16"/>
      <c r="MY73" s="16"/>
      <c r="MZ73" s="16"/>
      <c r="NA73" s="16"/>
      <c r="NB73" s="16"/>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c r="QE73" s="16"/>
      <c r="QF73" s="16"/>
      <c r="QG73" s="16"/>
      <c r="QH73" s="16"/>
      <c r="QI73" s="16"/>
      <c r="QJ73" s="16"/>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6"/>
      <c r="TT73" s="16"/>
      <c r="TU73" s="16"/>
      <c r="TV73" s="16"/>
      <c r="TW73" s="16"/>
      <c r="TX73" s="16"/>
      <c r="TY73" s="16"/>
      <c r="TZ73" s="16"/>
      <c r="UA73" s="16"/>
      <c r="UB73" s="16"/>
      <c r="UC73" s="16"/>
      <c r="UD73" s="16"/>
      <c r="UE73" s="16"/>
      <c r="UF73" s="16"/>
      <c r="UG73" s="16"/>
      <c r="UH73" s="16"/>
      <c r="UI73" s="16"/>
      <c r="UJ73" s="16"/>
      <c r="UK73" s="16"/>
      <c r="UL73" s="16"/>
      <c r="UM73" s="16"/>
      <c r="UN73" s="16"/>
      <c r="UO73" s="16"/>
      <c r="UP73" s="16"/>
      <c r="UQ73" s="16"/>
      <c r="UR73" s="16"/>
      <c r="US73" s="16"/>
      <c r="UT73" s="16"/>
      <c r="UU73" s="16"/>
      <c r="UV73" s="16"/>
      <c r="UW73" s="16"/>
      <c r="UX73" s="16"/>
      <c r="UY73" s="16"/>
      <c r="UZ73" s="16"/>
      <c r="VA73" s="16"/>
      <c r="VB73" s="16"/>
      <c r="VC73" s="16"/>
      <c r="VD73" s="16"/>
      <c r="VE73" s="16"/>
      <c r="VF73" s="16"/>
      <c r="VG73" s="16"/>
      <c r="VH73" s="16"/>
      <c r="VI73" s="16"/>
      <c r="VJ73" s="16"/>
      <c r="VK73" s="16"/>
      <c r="VL73" s="16"/>
      <c r="VM73" s="16"/>
      <c r="VN73" s="16"/>
      <c r="VO73" s="16"/>
      <c r="VP73" s="16"/>
      <c r="VQ73" s="16"/>
      <c r="VR73" s="16"/>
      <c r="VS73" s="16"/>
      <c r="VT73" s="16"/>
      <c r="VU73" s="16"/>
      <c r="VV73" s="16"/>
      <c r="VW73" s="16"/>
      <c r="VX73" s="16"/>
      <c r="VY73" s="16"/>
      <c r="VZ73" s="16"/>
      <c r="WA73" s="16"/>
      <c r="WB73" s="16"/>
      <c r="WC73" s="16"/>
      <c r="WD73" s="16"/>
      <c r="WE73" s="16"/>
      <c r="WF73" s="16"/>
      <c r="WG73" s="16"/>
      <c r="WH73" s="16"/>
      <c r="WI73" s="16"/>
      <c r="WJ73" s="16"/>
      <c r="WK73" s="16"/>
      <c r="WL73" s="16"/>
      <c r="WM73" s="16"/>
      <c r="WN73" s="16"/>
      <c r="WO73" s="16"/>
      <c r="WP73" s="16"/>
      <c r="WQ73" s="16"/>
      <c r="WR73" s="16"/>
      <c r="WS73" s="16"/>
      <c r="WT73" s="16"/>
      <c r="WU73" s="16"/>
      <c r="WV73" s="16"/>
      <c r="WW73" s="16"/>
      <c r="WX73" s="16"/>
      <c r="WY73" s="16"/>
      <c r="WZ73" s="16"/>
      <c r="XA73" s="16"/>
      <c r="XB73" s="16"/>
      <c r="XC73" s="16"/>
      <c r="XD73" s="16"/>
      <c r="XE73" s="16"/>
      <c r="XF73" s="16"/>
      <c r="XG73" s="16"/>
      <c r="XH73" s="16"/>
      <c r="XI73" s="16"/>
      <c r="XJ73" s="16"/>
      <c r="XK73" s="16"/>
      <c r="XL73" s="16"/>
      <c r="XM73" s="16"/>
      <c r="XN73" s="16"/>
      <c r="XO73" s="16"/>
      <c r="XP73" s="16"/>
      <c r="XQ73" s="16"/>
      <c r="XR73" s="16"/>
      <c r="XS73" s="16"/>
      <c r="XT73" s="16"/>
      <c r="XU73" s="16"/>
      <c r="XV73" s="16"/>
      <c r="XW73" s="16"/>
      <c r="XX73" s="16"/>
      <c r="XY73" s="16"/>
      <c r="XZ73" s="16"/>
      <c r="YA73" s="16"/>
      <c r="YB73" s="16"/>
      <c r="YC73" s="16"/>
      <c r="YD73" s="16"/>
      <c r="YE73" s="16"/>
      <c r="YF73" s="16"/>
      <c r="YG73" s="16"/>
      <c r="YH73" s="16"/>
      <c r="YI73" s="16"/>
      <c r="YJ73" s="16"/>
      <c r="YK73" s="16"/>
      <c r="YL73" s="16"/>
      <c r="YM73" s="16"/>
      <c r="YN73" s="16"/>
      <c r="YO73" s="16"/>
      <c r="YP73" s="16"/>
      <c r="YQ73" s="16"/>
      <c r="YR73" s="16"/>
      <c r="YS73" s="16"/>
      <c r="YT73" s="16"/>
      <c r="YU73" s="16"/>
      <c r="YV73" s="16"/>
      <c r="YW73" s="16"/>
      <c r="YX73" s="16"/>
      <c r="YY73" s="16"/>
      <c r="YZ73" s="16"/>
      <c r="ZA73" s="16"/>
      <c r="ZB73" s="16"/>
      <c r="ZC73" s="16"/>
      <c r="ZD73" s="16"/>
      <c r="ZE73" s="16"/>
      <c r="ZF73" s="16"/>
      <c r="ZG73" s="16"/>
      <c r="ZH73" s="16"/>
      <c r="ZI73" s="16"/>
      <c r="ZJ73" s="16"/>
      <c r="ZK73" s="16"/>
      <c r="ZL73" s="16"/>
      <c r="ZM73" s="16"/>
      <c r="ZN73" s="16"/>
      <c r="ZO73" s="16"/>
      <c r="ZP73" s="16"/>
      <c r="ZQ73" s="16"/>
      <c r="ZR73" s="16"/>
      <c r="ZS73" s="16"/>
      <c r="ZT73" s="16"/>
      <c r="ZU73" s="16"/>
      <c r="ZV73" s="16"/>
      <c r="ZW73" s="16"/>
      <c r="ZX73" s="16"/>
      <c r="ZY73" s="16"/>
      <c r="ZZ73" s="16"/>
      <c r="AAA73" s="16"/>
      <c r="AAB73" s="16"/>
      <c r="AAC73" s="16"/>
      <c r="AAD73" s="16"/>
      <c r="AAE73" s="16"/>
      <c r="AAF73" s="16"/>
      <c r="AAG73" s="16"/>
      <c r="AAH73" s="16"/>
      <c r="AAI73" s="16"/>
      <c r="AAJ73" s="16"/>
      <c r="AAK73" s="16"/>
      <c r="AAL73" s="16"/>
      <c r="AAM73" s="16"/>
      <c r="AAN73" s="16"/>
      <c r="AAO73" s="16"/>
      <c r="AAP73" s="16"/>
      <c r="AAQ73" s="16"/>
      <c r="AAR73" s="16"/>
      <c r="AAS73" s="16"/>
      <c r="AAT73" s="16"/>
      <c r="AAU73" s="16"/>
      <c r="AAV73" s="16"/>
      <c r="AAW73" s="16"/>
      <c r="AAX73" s="16"/>
      <c r="AAY73" s="16"/>
      <c r="AAZ73" s="16"/>
      <c r="ABA73" s="16"/>
      <c r="ABB73" s="16"/>
      <c r="ABC73" s="16"/>
      <c r="ABD73" s="16"/>
      <c r="ABE73" s="16"/>
      <c r="ABF73" s="16"/>
      <c r="ABG73" s="16"/>
      <c r="ABH73" s="16"/>
      <c r="ABI73" s="16"/>
      <c r="ABJ73" s="16"/>
      <c r="ABK73" s="16"/>
      <c r="ABL73" s="16"/>
      <c r="ABM73" s="16"/>
      <c r="ABN73" s="16"/>
      <c r="ABO73" s="16"/>
      <c r="ABP73" s="16"/>
      <c r="ABQ73" s="16"/>
      <c r="ABR73" s="16"/>
      <c r="ABS73" s="16"/>
      <c r="ABT73" s="16"/>
      <c r="ABU73" s="16"/>
      <c r="ABV73" s="16"/>
      <c r="ABW73" s="16"/>
      <c r="ABX73" s="16"/>
      <c r="ABY73" s="16"/>
      <c r="ABZ73" s="16"/>
      <c r="ACA73" s="16"/>
      <c r="ACB73" s="16"/>
      <c r="ACC73" s="16"/>
      <c r="ACD73" s="16"/>
      <c r="ACE73" s="16"/>
      <c r="ACF73" s="16"/>
      <c r="ACG73" s="16"/>
      <c r="ACH73" s="16"/>
      <c r="ACI73" s="16"/>
      <c r="ACJ73" s="16"/>
      <c r="ACK73" s="16"/>
      <c r="ACL73" s="16"/>
      <c r="ACM73" s="16"/>
      <c r="ACN73" s="16"/>
      <c r="ACO73" s="16"/>
      <c r="ACP73" s="16"/>
      <c r="ACQ73" s="16"/>
      <c r="ACR73" s="16"/>
      <c r="ACS73" s="16"/>
      <c r="ACT73" s="16"/>
      <c r="ACU73" s="16"/>
      <c r="ACV73" s="16"/>
      <c r="ACW73" s="16"/>
      <c r="ACX73" s="16"/>
      <c r="ACY73" s="16"/>
      <c r="ACZ73" s="16"/>
      <c r="ADA73" s="16"/>
      <c r="ADB73" s="16"/>
      <c r="ADC73" s="16"/>
      <c r="ADD73" s="16"/>
      <c r="ADE73" s="16"/>
      <c r="ADF73" s="16"/>
      <c r="ADG73" s="16"/>
      <c r="ADH73" s="16"/>
      <c r="ADI73" s="16"/>
      <c r="ADJ73" s="16"/>
      <c r="ADK73" s="16"/>
      <c r="ADL73" s="16"/>
      <c r="ADM73" s="16"/>
      <c r="ADN73" s="16"/>
      <c r="ADO73" s="16"/>
      <c r="ADP73" s="16"/>
      <c r="ADQ73" s="16"/>
      <c r="ADR73" s="16"/>
      <c r="ADS73" s="16"/>
      <c r="ADT73" s="16"/>
      <c r="ADU73" s="16"/>
      <c r="ADV73" s="16"/>
      <c r="ADW73" s="16"/>
      <c r="ADX73" s="16"/>
      <c r="ADY73" s="16"/>
      <c r="ADZ73" s="16"/>
      <c r="AEA73" s="16"/>
      <c r="AEB73" s="16"/>
      <c r="AEC73" s="16"/>
      <c r="AED73" s="16"/>
      <c r="AEE73" s="16"/>
      <c r="AEF73" s="16"/>
      <c r="AEG73" s="16"/>
      <c r="AEH73" s="16"/>
      <c r="AEI73" s="16"/>
      <c r="AEJ73" s="16"/>
      <c r="AEK73" s="16"/>
      <c r="AEL73" s="16"/>
      <c r="AEM73" s="16"/>
      <c r="AEN73" s="16"/>
      <c r="AEO73" s="16"/>
      <c r="AEP73" s="16"/>
      <c r="AEQ73" s="16"/>
      <c r="AER73" s="16"/>
      <c r="AES73" s="16"/>
      <c r="AET73" s="16"/>
      <c r="AEU73" s="16"/>
      <c r="AEV73" s="16"/>
      <c r="AEW73" s="16"/>
      <c r="AEX73" s="16"/>
      <c r="AEY73" s="16"/>
      <c r="AEZ73" s="16"/>
      <c r="AFA73" s="16"/>
      <c r="AFB73" s="16"/>
      <c r="AFC73" s="16"/>
      <c r="AFD73" s="16"/>
      <c r="AFE73" s="16"/>
      <c r="AFF73" s="16"/>
      <c r="AFG73" s="16"/>
      <c r="AFH73" s="16"/>
      <c r="AFI73" s="16"/>
      <c r="AFJ73" s="16"/>
      <c r="AFK73" s="16"/>
      <c r="AFL73" s="16"/>
      <c r="AFM73" s="16"/>
      <c r="AFN73" s="16"/>
      <c r="AFO73" s="16"/>
      <c r="AFP73" s="16"/>
      <c r="AFQ73" s="16"/>
      <c r="AFR73" s="16"/>
      <c r="AFS73" s="16"/>
      <c r="AFT73" s="16"/>
      <c r="AFU73" s="16"/>
      <c r="AFV73" s="16"/>
      <c r="AFW73" s="16"/>
      <c r="AFX73" s="16"/>
      <c r="AFY73" s="16"/>
      <c r="AFZ73" s="16"/>
      <c r="AGA73" s="16"/>
      <c r="AGB73" s="16"/>
      <c r="AGC73" s="16"/>
      <c r="AGD73" s="16"/>
      <c r="AGE73" s="16"/>
      <c r="AGF73" s="16"/>
    </row>
    <row r="74" spans="1:864" s="6" customFormat="1">
      <c r="A74" s="151" t="s">
        <v>209</v>
      </c>
      <c r="B74" s="34" t="s">
        <v>210</v>
      </c>
      <c r="C74" s="40" t="s">
        <v>139</v>
      </c>
      <c r="D74" s="34" t="s">
        <v>139</v>
      </c>
      <c r="E74" s="257">
        <v>2.9826370000000001E-2</v>
      </c>
      <c r="F74" s="232">
        <v>2</v>
      </c>
      <c r="G74" s="40" t="s">
        <v>214</v>
      </c>
      <c r="H74" s="29">
        <v>2</v>
      </c>
      <c r="I74" s="9">
        <v>2</v>
      </c>
      <c r="J74" s="9">
        <v>4</v>
      </c>
      <c r="K74" s="9">
        <v>3</v>
      </c>
      <c r="L74" s="9">
        <v>3</v>
      </c>
      <c r="M74" s="9">
        <v>1</v>
      </c>
      <c r="N74" s="185">
        <v>1.1278755061256256</v>
      </c>
      <c r="O74" s="159">
        <v>1.1278755061256256</v>
      </c>
      <c r="P74" s="63"/>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row>
    <row r="75" spans="1:864" s="6" customFormat="1">
      <c r="A75" s="151" t="s">
        <v>215</v>
      </c>
      <c r="B75" s="34" t="s">
        <v>216</v>
      </c>
      <c r="C75" s="40" t="s">
        <v>139</v>
      </c>
      <c r="D75" s="34" t="s">
        <v>139</v>
      </c>
      <c r="E75" s="257">
        <v>0.08</v>
      </c>
      <c r="F75" s="232">
        <v>2</v>
      </c>
      <c r="G75" s="40" t="s">
        <v>211</v>
      </c>
      <c r="H75" s="29">
        <v>1</v>
      </c>
      <c r="I75" s="9">
        <v>2</v>
      </c>
      <c r="J75" s="9">
        <v>3</v>
      </c>
      <c r="K75" s="9">
        <v>2</v>
      </c>
      <c r="L75" s="9">
        <v>3</v>
      </c>
      <c r="M75" s="9">
        <v>1</v>
      </c>
      <c r="N75" s="185">
        <v>0.50042652380814845</v>
      </c>
      <c r="O75" s="159">
        <v>0.51126068492676302</v>
      </c>
      <c r="P75" s="63"/>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row>
    <row r="76" spans="1:864" s="6" customFormat="1">
      <c r="A76" s="151" t="s">
        <v>215</v>
      </c>
      <c r="B76" s="34" t="s">
        <v>216</v>
      </c>
      <c r="C76" s="40" t="s">
        <v>139</v>
      </c>
      <c r="D76" s="34" t="s">
        <v>139</v>
      </c>
      <c r="E76" s="257">
        <v>3.2000000000000001E-2</v>
      </c>
      <c r="F76" s="232">
        <v>2</v>
      </c>
      <c r="G76" s="40" t="s">
        <v>213</v>
      </c>
      <c r="H76" s="29">
        <v>2</v>
      </c>
      <c r="I76" s="9">
        <v>2</v>
      </c>
      <c r="J76" s="9">
        <v>3</v>
      </c>
      <c r="K76" s="9">
        <v>3</v>
      </c>
      <c r="L76" s="9">
        <v>3</v>
      </c>
      <c r="M76" s="9">
        <v>3</v>
      </c>
      <c r="N76" s="185">
        <v>1.1713319510247036</v>
      </c>
      <c r="O76" s="159">
        <v>1.1713319510247036</v>
      </c>
      <c r="P76" s="63" t="s">
        <v>212</v>
      </c>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row>
    <row r="77" spans="1:864" s="6" customFormat="1">
      <c r="A77" s="151" t="s">
        <v>215</v>
      </c>
      <c r="B77" s="34" t="s">
        <v>216</v>
      </c>
      <c r="C77" s="40" t="s">
        <v>139</v>
      </c>
      <c r="D77" s="34" t="s">
        <v>139</v>
      </c>
      <c r="E77" s="257">
        <v>2.9826370000000001E-2</v>
      </c>
      <c r="F77" s="232">
        <v>2</v>
      </c>
      <c r="G77" s="40" t="s">
        <v>214</v>
      </c>
      <c r="H77" s="29">
        <v>2</v>
      </c>
      <c r="I77" s="9">
        <v>2</v>
      </c>
      <c r="J77" s="9">
        <v>4</v>
      </c>
      <c r="K77" s="9">
        <v>3</v>
      </c>
      <c r="L77" s="9">
        <v>3</v>
      </c>
      <c r="M77" s="9">
        <v>1</v>
      </c>
      <c r="N77" s="185">
        <v>1.1278755061256256</v>
      </c>
      <c r="O77" s="159">
        <v>1.1278755061256256</v>
      </c>
      <c r="P77" s="63" t="s">
        <v>217</v>
      </c>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row>
    <row r="78" spans="1:864" s="6" customFormat="1">
      <c r="A78" s="151" t="s">
        <v>209</v>
      </c>
      <c r="B78" s="34" t="s">
        <v>179</v>
      </c>
      <c r="C78" s="40" t="s">
        <v>139</v>
      </c>
      <c r="D78" s="34" t="s">
        <v>139</v>
      </c>
      <c r="E78" s="257">
        <v>0.8</v>
      </c>
      <c r="F78" s="232">
        <v>2</v>
      </c>
      <c r="G78" s="40" t="s">
        <v>157</v>
      </c>
      <c r="H78" s="29">
        <v>3</v>
      </c>
      <c r="I78" s="9"/>
      <c r="J78" s="9">
        <v>3</v>
      </c>
      <c r="K78" s="9">
        <v>3</v>
      </c>
      <c r="L78" s="9">
        <v>3</v>
      </c>
      <c r="M78" s="9">
        <v>3</v>
      </c>
      <c r="N78" s="185">
        <v>1.2132328390150593</v>
      </c>
      <c r="O78" s="159" t="s">
        <v>249</v>
      </c>
      <c r="P78" s="63" t="s">
        <v>298</v>
      </c>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row>
    <row r="79" spans="1:864" s="6" customFormat="1">
      <c r="A79" s="151" t="s">
        <v>215</v>
      </c>
      <c r="B79" s="34" t="s">
        <v>179</v>
      </c>
      <c r="C79" s="40" t="s">
        <v>139</v>
      </c>
      <c r="D79" s="34" t="s">
        <v>139</v>
      </c>
      <c r="E79" s="257">
        <v>0</v>
      </c>
      <c r="F79" s="232">
        <v>2</v>
      </c>
      <c r="G79" s="40"/>
      <c r="H79" s="29"/>
      <c r="I79" s="9"/>
      <c r="J79" s="9"/>
      <c r="K79" s="9"/>
      <c r="L79" s="9"/>
      <c r="M79" s="9"/>
      <c r="N79" s="185" t="s">
        <v>249</v>
      </c>
      <c r="O79" s="159" t="s">
        <v>249</v>
      </c>
      <c r="P79" s="63" t="s">
        <v>299</v>
      </c>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row>
    <row r="80" spans="1:864" s="6" customFormat="1">
      <c r="A80" s="151" t="s">
        <v>362</v>
      </c>
      <c r="B80" s="34" t="s">
        <v>363</v>
      </c>
      <c r="C80" s="40" t="s">
        <v>139</v>
      </c>
      <c r="D80" s="34" t="s">
        <v>139</v>
      </c>
      <c r="E80" s="257">
        <v>0.03</v>
      </c>
      <c r="F80" s="232">
        <v>2</v>
      </c>
      <c r="G80" s="40" t="s">
        <v>364</v>
      </c>
      <c r="H80" s="29">
        <v>2</v>
      </c>
      <c r="I80" s="9">
        <v>2</v>
      </c>
      <c r="J80" s="9">
        <v>2</v>
      </c>
      <c r="K80" s="9">
        <v>1</v>
      </c>
      <c r="L80" s="9">
        <v>1</v>
      </c>
      <c r="M80" s="9">
        <v>2</v>
      </c>
      <c r="N80" s="185">
        <v>0.37356464144298934</v>
      </c>
      <c r="O80" s="159">
        <v>0.37356464144298934</v>
      </c>
      <c r="P80" s="63" t="s">
        <v>365</v>
      </c>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row>
    <row r="81" spans="1:864" s="6" customFormat="1">
      <c r="A81" s="151" t="s">
        <v>232</v>
      </c>
      <c r="B81" s="34" t="s">
        <v>366</v>
      </c>
      <c r="C81" s="40" t="s">
        <v>139</v>
      </c>
      <c r="D81" s="34" t="s">
        <v>139</v>
      </c>
      <c r="E81" s="257">
        <v>0.03</v>
      </c>
      <c r="F81" s="232">
        <v>2</v>
      </c>
      <c r="G81" s="40" t="s">
        <v>364</v>
      </c>
      <c r="H81" s="29">
        <v>2</v>
      </c>
      <c r="I81" s="9">
        <v>2</v>
      </c>
      <c r="J81" s="9">
        <v>2</v>
      </c>
      <c r="K81" s="9">
        <v>1</v>
      </c>
      <c r="L81" s="9">
        <v>1</v>
      </c>
      <c r="M81" s="9">
        <v>2</v>
      </c>
      <c r="N81" s="185">
        <v>0.37356464144298934</v>
      </c>
      <c r="O81" s="159">
        <v>0.37356464144298934</v>
      </c>
      <c r="P81" s="63" t="s">
        <v>365</v>
      </c>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6"/>
      <c r="QM81" s="16"/>
      <c r="QN81" s="16"/>
      <c r="QO81" s="16"/>
      <c r="QP81" s="16"/>
      <c r="QQ81" s="16"/>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6"/>
      <c r="SR81" s="16"/>
      <c r="SS81" s="16"/>
      <c r="ST81" s="16"/>
      <c r="SU81" s="16"/>
      <c r="SV81" s="16"/>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6"/>
      <c r="UW81" s="16"/>
      <c r="UX81" s="16"/>
      <c r="UY81" s="16"/>
      <c r="UZ81" s="16"/>
      <c r="VA81" s="16"/>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6"/>
      <c r="XB81" s="16"/>
      <c r="XC81" s="16"/>
      <c r="XD81" s="16"/>
      <c r="XE81" s="16"/>
      <c r="XF81" s="16"/>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6"/>
      <c r="ZG81" s="16"/>
      <c r="ZH81" s="16"/>
      <c r="ZI81" s="16"/>
      <c r="ZJ81" s="16"/>
      <c r="ZK81" s="16"/>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6"/>
      <c r="ABL81" s="16"/>
      <c r="ABM81" s="16"/>
      <c r="ABN81" s="16"/>
      <c r="ABO81" s="16"/>
      <c r="ABP81" s="16"/>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6"/>
      <c r="ADQ81" s="16"/>
      <c r="ADR81" s="16"/>
      <c r="ADS81" s="16"/>
      <c r="ADT81" s="16"/>
      <c r="ADU81" s="16"/>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6"/>
      <c r="AFV81" s="16"/>
      <c r="AFW81" s="16"/>
      <c r="AFX81" s="16"/>
      <c r="AFY81" s="16"/>
      <c r="AFZ81" s="16"/>
      <c r="AGA81" s="16"/>
      <c r="AGB81" s="16"/>
      <c r="AGC81" s="16"/>
      <c r="AGD81" s="16"/>
      <c r="AGE81" s="16"/>
      <c r="AGF81" s="16"/>
    </row>
    <row r="82" spans="1:864" s="6" customFormat="1">
      <c r="A82" s="151" t="s">
        <v>209</v>
      </c>
      <c r="B82" s="34" t="s">
        <v>384</v>
      </c>
      <c r="C82" s="40" t="s">
        <v>139</v>
      </c>
      <c r="D82" s="34" t="s">
        <v>139</v>
      </c>
      <c r="E82" s="257" t="s">
        <v>150</v>
      </c>
      <c r="F82" s="232">
        <v>1</v>
      </c>
      <c r="G82" s="40"/>
      <c r="H82" s="29"/>
      <c r="I82" s="9"/>
      <c r="J82" s="9"/>
      <c r="K82" s="9"/>
      <c r="L82" s="9"/>
      <c r="M82" s="9"/>
      <c r="N82" s="185" t="s">
        <v>249</v>
      </c>
      <c r="O82" s="159" t="s">
        <v>249</v>
      </c>
      <c r="P82" s="63"/>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c r="MX82" s="16"/>
      <c r="MY82" s="16"/>
      <c r="MZ82" s="16"/>
      <c r="NA82" s="16"/>
      <c r="NB82" s="16"/>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c r="QE82" s="16"/>
      <c r="QF82" s="16"/>
      <c r="QG82" s="16"/>
      <c r="QH82" s="16"/>
      <c r="QI82" s="16"/>
      <c r="QJ82" s="16"/>
      <c r="QK82" s="16"/>
      <c r="QL82" s="16"/>
      <c r="QM82" s="16"/>
      <c r="QN82" s="16"/>
      <c r="QO82" s="16"/>
      <c r="QP82" s="16"/>
      <c r="QQ82" s="16"/>
      <c r="QR82" s="16"/>
      <c r="QS82" s="16"/>
      <c r="QT82" s="16"/>
      <c r="QU82" s="16"/>
      <c r="QV82" s="16"/>
      <c r="QW82" s="16"/>
      <c r="QX82" s="16"/>
      <c r="QY82" s="16"/>
      <c r="QZ82" s="16"/>
      <c r="RA82" s="16"/>
      <c r="RB82" s="16"/>
      <c r="RC82" s="16"/>
      <c r="RD82" s="16"/>
      <c r="RE82" s="16"/>
      <c r="RF82" s="16"/>
      <c r="RG82" s="16"/>
      <c r="RH82" s="16"/>
      <c r="RI82" s="16"/>
      <c r="RJ82" s="16"/>
      <c r="RK82" s="16"/>
      <c r="RL82" s="16"/>
      <c r="RM82" s="16"/>
      <c r="RN82" s="16"/>
      <c r="RO82" s="16"/>
      <c r="RP82" s="16"/>
      <c r="RQ82" s="16"/>
      <c r="RR82" s="16"/>
      <c r="RS82" s="16"/>
      <c r="RT82" s="16"/>
      <c r="RU82" s="16"/>
      <c r="RV82" s="16"/>
      <c r="RW82" s="16"/>
      <c r="RX82" s="16"/>
      <c r="RY82" s="16"/>
      <c r="RZ82" s="16"/>
      <c r="SA82" s="16"/>
      <c r="SB82" s="16"/>
      <c r="SC82" s="16"/>
      <c r="SD82" s="16"/>
      <c r="SE82" s="16"/>
      <c r="SF82" s="16"/>
      <c r="SG82" s="16"/>
      <c r="SH82" s="16"/>
      <c r="SI82" s="16"/>
      <c r="SJ82" s="16"/>
      <c r="SK82" s="16"/>
      <c r="SL82" s="16"/>
      <c r="SM82" s="16"/>
      <c r="SN82" s="16"/>
      <c r="SO82" s="16"/>
      <c r="SP82" s="16"/>
      <c r="SQ82" s="16"/>
      <c r="SR82" s="16"/>
      <c r="SS82" s="16"/>
      <c r="ST82" s="16"/>
      <c r="SU82" s="16"/>
      <c r="SV82" s="16"/>
      <c r="SW82" s="16"/>
      <c r="SX82" s="16"/>
      <c r="SY82" s="16"/>
      <c r="SZ82" s="16"/>
      <c r="TA82" s="16"/>
      <c r="TB82" s="16"/>
      <c r="TC82" s="16"/>
      <c r="TD82" s="16"/>
      <c r="TE82" s="16"/>
      <c r="TF82" s="16"/>
      <c r="TG82" s="16"/>
      <c r="TH82" s="16"/>
      <c r="TI82" s="16"/>
      <c r="TJ82" s="16"/>
      <c r="TK82" s="16"/>
      <c r="TL82" s="16"/>
      <c r="TM82" s="16"/>
      <c r="TN82" s="16"/>
      <c r="TO82" s="16"/>
      <c r="TP82" s="16"/>
      <c r="TQ82" s="16"/>
      <c r="TR82" s="16"/>
      <c r="TS82" s="16"/>
      <c r="TT82" s="16"/>
      <c r="TU82" s="16"/>
      <c r="TV82" s="16"/>
      <c r="TW82" s="16"/>
      <c r="TX82" s="16"/>
      <c r="TY82" s="16"/>
      <c r="TZ82" s="16"/>
      <c r="UA82" s="16"/>
      <c r="UB82" s="16"/>
      <c r="UC82" s="16"/>
      <c r="UD82" s="16"/>
      <c r="UE82" s="16"/>
      <c r="UF82" s="16"/>
      <c r="UG82" s="16"/>
      <c r="UH82" s="16"/>
      <c r="UI82" s="16"/>
      <c r="UJ82" s="16"/>
      <c r="UK82" s="16"/>
      <c r="UL82" s="16"/>
      <c r="UM82" s="16"/>
      <c r="UN82" s="16"/>
      <c r="UO82" s="16"/>
      <c r="UP82" s="16"/>
      <c r="UQ82" s="16"/>
      <c r="UR82" s="16"/>
      <c r="US82" s="16"/>
      <c r="UT82" s="16"/>
      <c r="UU82" s="16"/>
      <c r="UV82" s="16"/>
      <c r="UW82" s="16"/>
      <c r="UX82" s="16"/>
      <c r="UY82" s="16"/>
      <c r="UZ82" s="16"/>
      <c r="VA82" s="16"/>
      <c r="VB82" s="16"/>
      <c r="VC82" s="16"/>
      <c r="VD82" s="16"/>
      <c r="VE82" s="16"/>
      <c r="VF82" s="16"/>
      <c r="VG82" s="16"/>
      <c r="VH82" s="16"/>
      <c r="VI82" s="16"/>
      <c r="VJ82" s="16"/>
      <c r="VK82" s="16"/>
      <c r="VL82" s="16"/>
      <c r="VM82" s="16"/>
      <c r="VN82" s="16"/>
      <c r="VO82" s="16"/>
      <c r="VP82" s="16"/>
      <c r="VQ82" s="16"/>
      <c r="VR82" s="16"/>
      <c r="VS82" s="16"/>
      <c r="VT82" s="16"/>
      <c r="VU82" s="16"/>
      <c r="VV82" s="16"/>
      <c r="VW82" s="16"/>
      <c r="VX82" s="16"/>
      <c r="VY82" s="16"/>
      <c r="VZ82" s="16"/>
      <c r="WA82" s="16"/>
      <c r="WB82" s="16"/>
      <c r="WC82" s="16"/>
      <c r="WD82" s="16"/>
      <c r="WE82" s="16"/>
      <c r="WF82" s="16"/>
      <c r="WG82" s="16"/>
      <c r="WH82" s="16"/>
      <c r="WI82" s="16"/>
      <c r="WJ82" s="16"/>
      <c r="WK82" s="16"/>
      <c r="WL82" s="16"/>
      <c r="WM82" s="16"/>
      <c r="WN82" s="16"/>
      <c r="WO82" s="16"/>
      <c r="WP82" s="16"/>
      <c r="WQ82" s="16"/>
      <c r="WR82" s="16"/>
      <c r="WS82" s="16"/>
      <c r="WT82" s="16"/>
      <c r="WU82" s="16"/>
      <c r="WV82" s="16"/>
      <c r="WW82" s="16"/>
      <c r="WX82" s="16"/>
      <c r="WY82" s="16"/>
      <c r="WZ82" s="16"/>
      <c r="XA82" s="16"/>
      <c r="XB82" s="16"/>
      <c r="XC82" s="16"/>
      <c r="XD82" s="16"/>
      <c r="XE82" s="16"/>
      <c r="XF82" s="16"/>
      <c r="XG82" s="16"/>
      <c r="XH82" s="16"/>
      <c r="XI82" s="16"/>
      <c r="XJ82" s="16"/>
      <c r="XK82" s="16"/>
      <c r="XL82" s="16"/>
      <c r="XM82" s="16"/>
      <c r="XN82" s="16"/>
      <c r="XO82" s="16"/>
      <c r="XP82" s="16"/>
      <c r="XQ82" s="16"/>
      <c r="XR82" s="16"/>
      <c r="XS82" s="16"/>
      <c r="XT82" s="16"/>
      <c r="XU82" s="16"/>
      <c r="XV82" s="16"/>
      <c r="XW82" s="16"/>
      <c r="XX82" s="16"/>
      <c r="XY82" s="16"/>
      <c r="XZ82" s="16"/>
      <c r="YA82" s="16"/>
      <c r="YB82" s="16"/>
      <c r="YC82" s="16"/>
      <c r="YD82" s="16"/>
      <c r="YE82" s="16"/>
      <c r="YF82" s="16"/>
      <c r="YG82" s="16"/>
      <c r="YH82" s="16"/>
      <c r="YI82" s="16"/>
      <c r="YJ82" s="16"/>
      <c r="YK82" s="16"/>
      <c r="YL82" s="16"/>
      <c r="YM82" s="16"/>
      <c r="YN82" s="16"/>
      <c r="YO82" s="16"/>
      <c r="YP82" s="16"/>
      <c r="YQ82" s="16"/>
      <c r="YR82" s="16"/>
      <c r="YS82" s="16"/>
      <c r="YT82" s="16"/>
      <c r="YU82" s="16"/>
      <c r="YV82" s="16"/>
      <c r="YW82" s="16"/>
      <c r="YX82" s="16"/>
      <c r="YY82" s="16"/>
      <c r="YZ82" s="16"/>
      <c r="ZA82" s="16"/>
      <c r="ZB82" s="16"/>
      <c r="ZC82" s="16"/>
      <c r="ZD82" s="16"/>
      <c r="ZE82" s="16"/>
      <c r="ZF82" s="16"/>
      <c r="ZG82" s="16"/>
      <c r="ZH82" s="16"/>
      <c r="ZI82" s="16"/>
      <c r="ZJ82" s="16"/>
      <c r="ZK82" s="16"/>
      <c r="ZL82" s="16"/>
      <c r="ZM82" s="16"/>
      <c r="ZN82" s="16"/>
      <c r="ZO82" s="16"/>
      <c r="ZP82" s="16"/>
      <c r="ZQ82" s="16"/>
      <c r="ZR82" s="16"/>
      <c r="ZS82" s="16"/>
      <c r="ZT82" s="16"/>
      <c r="ZU82" s="16"/>
      <c r="ZV82" s="16"/>
      <c r="ZW82" s="16"/>
      <c r="ZX82" s="16"/>
      <c r="ZY82" s="16"/>
      <c r="ZZ82" s="16"/>
      <c r="AAA82" s="16"/>
      <c r="AAB82" s="16"/>
      <c r="AAC82" s="16"/>
      <c r="AAD82" s="16"/>
      <c r="AAE82" s="16"/>
      <c r="AAF82" s="16"/>
      <c r="AAG82" s="16"/>
      <c r="AAH82" s="16"/>
      <c r="AAI82" s="16"/>
      <c r="AAJ82" s="16"/>
      <c r="AAK82" s="16"/>
      <c r="AAL82" s="16"/>
      <c r="AAM82" s="16"/>
      <c r="AAN82" s="16"/>
      <c r="AAO82" s="16"/>
      <c r="AAP82" s="16"/>
      <c r="AAQ82" s="16"/>
      <c r="AAR82" s="16"/>
      <c r="AAS82" s="16"/>
      <c r="AAT82" s="16"/>
      <c r="AAU82" s="16"/>
      <c r="AAV82" s="16"/>
      <c r="AAW82" s="16"/>
      <c r="AAX82" s="16"/>
      <c r="AAY82" s="16"/>
      <c r="AAZ82" s="16"/>
      <c r="ABA82" s="16"/>
      <c r="ABB82" s="16"/>
      <c r="ABC82" s="16"/>
      <c r="ABD82" s="16"/>
      <c r="ABE82" s="16"/>
      <c r="ABF82" s="16"/>
      <c r="ABG82" s="16"/>
      <c r="ABH82" s="16"/>
      <c r="ABI82" s="16"/>
      <c r="ABJ82" s="16"/>
      <c r="ABK82" s="16"/>
      <c r="ABL82" s="16"/>
      <c r="ABM82" s="16"/>
      <c r="ABN82" s="16"/>
      <c r="ABO82" s="16"/>
      <c r="ABP82" s="16"/>
      <c r="ABQ82" s="16"/>
      <c r="ABR82" s="16"/>
      <c r="ABS82" s="16"/>
      <c r="ABT82" s="16"/>
      <c r="ABU82" s="16"/>
      <c r="ABV82" s="16"/>
      <c r="ABW82" s="16"/>
      <c r="ABX82" s="16"/>
      <c r="ABY82" s="16"/>
      <c r="ABZ82" s="16"/>
      <c r="ACA82" s="16"/>
      <c r="ACB82" s="16"/>
      <c r="ACC82" s="16"/>
      <c r="ACD82" s="16"/>
      <c r="ACE82" s="16"/>
      <c r="ACF82" s="16"/>
      <c r="ACG82" s="16"/>
      <c r="ACH82" s="16"/>
      <c r="ACI82" s="16"/>
      <c r="ACJ82" s="16"/>
      <c r="ACK82" s="16"/>
      <c r="ACL82" s="16"/>
      <c r="ACM82" s="16"/>
      <c r="ACN82" s="16"/>
      <c r="ACO82" s="16"/>
      <c r="ACP82" s="16"/>
      <c r="ACQ82" s="16"/>
      <c r="ACR82" s="16"/>
      <c r="ACS82" s="16"/>
      <c r="ACT82" s="16"/>
      <c r="ACU82" s="16"/>
      <c r="ACV82" s="16"/>
      <c r="ACW82" s="16"/>
      <c r="ACX82" s="16"/>
      <c r="ACY82" s="16"/>
      <c r="ACZ82" s="16"/>
      <c r="ADA82" s="16"/>
      <c r="ADB82" s="16"/>
      <c r="ADC82" s="16"/>
      <c r="ADD82" s="16"/>
      <c r="ADE82" s="16"/>
      <c r="ADF82" s="16"/>
      <c r="ADG82" s="16"/>
      <c r="ADH82" s="16"/>
      <c r="ADI82" s="16"/>
      <c r="ADJ82" s="16"/>
      <c r="ADK82" s="16"/>
      <c r="ADL82" s="16"/>
      <c r="ADM82" s="16"/>
      <c r="ADN82" s="16"/>
      <c r="ADO82" s="16"/>
      <c r="ADP82" s="16"/>
      <c r="ADQ82" s="16"/>
      <c r="ADR82" s="16"/>
      <c r="ADS82" s="16"/>
      <c r="ADT82" s="16"/>
      <c r="ADU82" s="16"/>
      <c r="ADV82" s="16"/>
      <c r="ADW82" s="16"/>
      <c r="ADX82" s="16"/>
      <c r="ADY82" s="16"/>
      <c r="ADZ82" s="16"/>
      <c r="AEA82" s="16"/>
      <c r="AEB82" s="16"/>
      <c r="AEC82" s="16"/>
      <c r="AED82" s="16"/>
      <c r="AEE82" s="16"/>
      <c r="AEF82" s="16"/>
      <c r="AEG82" s="16"/>
      <c r="AEH82" s="16"/>
      <c r="AEI82" s="16"/>
      <c r="AEJ82" s="16"/>
      <c r="AEK82" s="16"/>
      <c r="AEL82" s="16"/>
      <c r="AEM82" s="16"/>
      <c r="AEN82" s="16"/>
      <c r="AEO82" s="16"/>
      <c r="AEP82" s="16"/>
      <c r="AEQ82" s="16"/>
      <c r="AER82" s="16"/>
      <c r="AES82" s="16"/>
      <c r="AET82" s="16"/>
      <c r="AEU82" s="16"/>
      <c r="AEV82" s="16"/>
      <c r="AEW82" s="16"/>
      <c r="AEX82" s="16"/>
      <c r="AEY82" s="16"/>
      <c r="AEZ82" s="16"/>
      <c r="AFA82" s="16"/>
      <c r="AFB82" s="16"/>
      <c r="AFC82" s="16"/>
      <c r="AFD82" s="16"/>
      <c r="AFE82" s="16"/>
      <c r="AFF82" s="16"/>
      <c r="AFG82" s="16"/>
      <c r="AFH82" s="16"/>
      <c r="AFI82" s="16"/>
      <c r="AFJ82" s="16"/>
      <c r="AFK82" s="16"/>
      <c r="AFL82" s="16"/>
      <c r="AFM82" s="16"/>
      <c r="AFN82" s="16"/>
      <c r="AFO82" s="16"/>
      <c r="AFP82" s="16"/>
      <c r="AFQ82" s="16"/>
      <c r="AFR82" s="16"/>
      <c r="AFS82" s="16"/>
      <c r="AFT82" s="16"/>
      <c r="AFU82" s="16"/>
      <c r="AFV82" s="16"/>
      <c r="AFW82" s="16"/>
      <c r="AFX82" s="16"/>
      <c r="AFY82" s="16"/>
      <c r="AFZ82" s="16"/>
      <c r="AGA82" s="16"/>
      <c r="AGB82" s="16"/>
      <c r="AGC82" s="16"/>
      <c r="AGD82" s="16"/>
      <c r="AGE82" s="16"/>
      <c r="AGF82" s="16"/>
    </row>
    <row r="83" spans="1:864" s="6" customFormat="1">
      <c r="A83" s="151" t="s">
        <v>215</v>
      </c>
      <c r="B83" s="34" t="s">
        <v>385</v>
      </c>
      <c r="C83" s="40" t="s">
        <v>139</v>
      </c>
      <c r="D83" s="34" t="s">
        <v>139</v>
      </c>
      <c r="E83" s="257" t="s">
        <v>150</v>
      </c>
      <c r="F83" s="232">
        <v>1</v>
      </c>
      <c r="G83" s="40"/>
      <c r="H83" s="29"/>
      <c r="I83" s="9"/>
      <c r="J83" s="9"/>
      <c r="K83" s="9"/>
      <c r="L83" s="9"/>
      <c r="M83" s="9"/>
      <c r="N83" s="185" t="s">
        <v>249</v>
      </c>
      <c r="O83" s="159" t="s">
        <v>249</v>
      </c>
      <c r="P83" s="63" t="s">
        <v>386</v>
      </c>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c r="MX83" s="16"/>
      <c r="MY83" s="16"/>
      <c r="MZ83" s="16"/>
      <c r="NA83" s="16"/>
      <c r="NB83" s="16"/>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c r="QE83" s="16"/>
      <c r="QF83" s="16"/>
      <c r="QG83" s="16"/>
      <c r="QH83" s="16"/>
      <c r="QI83" s="16"/>
      <c r="QJ83" s="16"/>
      <c r="QK83" s="16"/>
      <c r="QL83" s="16"/>
      <c r="QM83" s="16"/>
      <c r="QN83" s="16"/>
      <c r="QO83" s="16"/>
      <c r="QP83" s="16"/>
      <c r="QQ83" s="16"/>
      <c r="QR83" s="16"/>
      <c r="QS83" s="16"/>
      <c r="QT83" s="16"/>
      <c r="QU83" s="16"/>
      <c r="QV83" s="16"/>
      <c r="QW83" s="16"/>
      <c r="QX83" s="16"/>
      <c r="QY83" s="16"/>
      <c r="QZ83" s="16"/>
      <c r="RA83" s="16"/>
      <c r="RB83" s="16"/>
      <c r="RC83" s="16"/>
      <c r="RD83" s="16"/>
      <c r="RE83" s="16"/>
      <c r="RF83" s="16"/>
      <c r="RG83" s="16"/>
      <c r="RH83" s="16"/>
      <c r="RI83" s="16"/>
      <c r="RJ83" s="16"/>
      <c r="RK83" s="16"/>
      <c r="RL83" s="16"/>
      <c r="RM83" s="16"/>
      <c r="RN83" s="16"/>
      <c r="RO83" s="16"/>
      <c r="RP83" s="16"/>
      <c r="RQ83" s="16"/>
      <c r="RR83" s="16"/>
      <c r="RS83" s="16"/>
      <c r="RT83" s="16"/>
      <c r="RU83" s="16"/>
      <c r="RV83" s="16"/>
      <c r="RW83" s="16"/>
      <c r="RX83" s="16"/>
      <c r="RY83" s="16"/>
      <c r="RZ83" s="16"/>
      <c r="SA83" s="16"/>
      <c r="SB83" s="16"/>
      <c r="SC83" s="16"/>
      <c r="SD83" s="16"/>
      <c r="SE83" s="16"/>
      <c r="SF83" s="16"/>
      <c r="SG83" s="16"/>
      <c r="SH83" s="16"/>
      <c r="SI83" s="16"/>
      <c r="SJ83" s="16"/>
      <c r="SK83" s="16"/>
      <c r="SL83" s="16"/>
      <c r="SM83" s="16"/>
      <c r="SN83" s="16"/>
      <c r="SO83" s="16"/>
      <c r="SP83" s="16"/>
      <c r="SQ83" s="16"/>
      <c r="SR83" s="16"/>
      <c r="SS83" s="16"/>
      <c r="ST83" s="16"/>
      <c r="SU83" s="16"/>
      <c r="SV83" s="16"/>
      <c r="SW83" s="16"/>
      <c r="SX83" s="16"/>
      <c r="SY83" s="16"/>
      <c r="SZ83" s="16"/>
      <c r="TA83" s="16"/>
      <c r="TB83" s="16"/>
      <c r="TC83" s="16"/>
      <c r="TD83" s="16"/>
      <c r="TE83" s="16"/>
      <c r="TF83" s="16"/>
      <c r="TG83" s="16"/>
      <c r="TH83" s="16"/>
      <c r="TI83" s="16"/>
      <c r="TJ83" s="16"/>
      <c r="TK83" s="16"/>
      <c r="TL83" s="16"/>
      <c r="TM83" s="16"/>
      <c r="TN83" s="16"/>
      <c r="TO83" s="16"/>
      <c r="TP83" s="16"/>
      <c r="TQ83" s="16"/>
      <c r="TR83" s="16"/>
      <c r="TS83" s="16"/>
      <c r="TT83" s="16"/>
      <c r="TU83" s="16"/>
      <c r="TV83" s="16"/>
      <c r="TW83" s="16"/>
      <c r="TX83" s="16"/>
      <c r="TY83" s="16"/>
      <c r="TZ83" s="16"/>
      <c r="UA83" s="16"/>
      <c r="UB83" s="16"/>
      <c r="UC83" s="16"/>
      <c r="UD83" s="16"/>
      <c r="UE83" s="16"/>
      <c r="UF83" s="16"/>
      <c r="UG83" s="16"/>
      <c r="UH83" s="16"/>
      <c r="UI83" s="16"/>
      <c r="UJ83" s="16"/>
      <c r="UK83" s="16"/>
      <c r="UL83" s="16"/>
      <c r="UM83" s="16"/>
      <c r="UN83" s="16"/>
      <c r="UO83" s="16"/>
      <c r="UP83" s="16"/>
      <c r="UQ83" s="16"/>
      <c r="UR83" s="16"/>
      <c r="US83" s="16"/>
      <c r="UT83" s="16"/>
      <c r="UU83" s="16"/>
      <c r="UV83" s="16"/>
      <c r="UW83" s="16"/>
      <c r="UX83" s="16"/>
      <c r="UY83" s="16"/>
      <c r="UZ83" s="16"/>
      <c r="VA83" s="16"/>
      <c r="VB83" s="16"/>
      <c r="VC83" s="16"/>
      <c r="VD83" s="16"/>
      <c r="VE83" s="16"/>
      <c r="VF83" s="16"/>
      <c r="VG83" s="16"/>
      <c r="VH83" s="16"/>
      <c r="VI83" s="16"/>
      <c r="VJ83" s="16"/>
      <c r="VK83" s="16"/>
      <c r="VL83" s="16"/>
      <c r="VM83" s="16"/>
      <c r="VN83" s="16"/>
      <c r="VO83" s="16"/>
      <c r="VP83" s="16"/>
      <c r="VQ83" s="16"/>
      <c r="VR83" s="16"/>
      <c r="VS83" s="16"/>
      <c r="VT83" s="16"/>
      <c r="VU83" s="16"/>
      <c r="VV83" s="16"/>
      <c r="VW83" s="16"/>
      <c r="VX83" s="16"/>
      <c r="VY83" s="16"/>
      <c r="VZ83" s="16"/>
      <c r="WA83" s="16"/>
      <c r="WB83" s="16"/>
      <c r="WC83" s="16"/>
      <c r="WD83" s="16"/>
      <c r="WE83" s="16"/>
      <c r="WF83" s="16"/>
      <c r="WG83" s="16"/>
      <c r="WH83" s="16"/>
      <c r="WI83" s="16"/>
      <c r="WJ83" s="16"/>
      <c r="WK83" s="16"/>
      <c r="WL83" s="16"/>
      <c r="WM83" s="16"/>
      <c r="WN83" s="16"/>
      <c r="WO83" s="16"/>
      <c r="WP83" s="16"/>
      <c r="WQ83" s="16"/>
      <c r="WR83" s="16"/>
      <c r="WS83" s="16"/>
      <c r="WT83" s="16"/>
      <c r="WU83" s="16"/>
      <c r="WV83" s="16"/>
      <c r="WW83" s="16"/>
      <c r="WX83" s="16"/>
      <c r="WY83" s="16"/>
      <c r="WZ83" s="16"/>
      <c r="XA83" s="16"/>
      <c r="XB83" s="16"/>
      <c r="XC83" s="16"/>
      <c r="XD83" s="16"/>
      <c r="XE83" s="16"/>
      <c r="XF83" s="16"/>
      <c r="XG83" s="16"/>
      <c r="XH83" s="16"/>
      <c r="XI83" s="16"/>
      <c r="XJ83" s="16"/>
      <c r="XK83" s="16"/>
      <c r="XL83" s="16"/>
      <c r="XM83" s="16"/>
      <c r="XN83" s="16"/>
      <c r="XO83" s="16"/>
      <c r="XP83" s="16"/>
      <c r="XQ83" s="16"/>
      <c r="XR83" s="16"/>
      <c r="XS83" s="16"/>
      <c r="XT83" s="16"/>
      <c r="XU83" s="16"/>
      <c r="XV83" s="16"/>
      <c r="XW83" s="16"/>
      <c r="XX83" s="16"/>
      <c r="XY83" s="16"/>
      <c r="XZ83" s="16"/>
      <c r="YA83" s="16"/>
      <c r="YB83" s="16"/>
      <c r="YC83" s="16"/>
      <c r="YD83" s="16"/>
      <c r="YE83" s="16"/>
      <c r="YF83" s="16"/>
      <c r="YG83" s="16"/>
      <c r="YH83" s="16"/>
      <c r="YI83" s="16"/>
      <c r="YJ83" s="16"/>
      <c r="YK83" s="16"/>
      <c r="YL83" s="16"/>
      <c r="YM83" s="16"/>
      <c r="YN83" s="16"/>
      <c r="YO83" s="16"/>
      <c r="YP83" s="16"/>
      <c r="YQ83" s="16"/>
      <c r="YR83" s="16"/>
      <c r="YS83" s="16"/>
      <c r="YT83" s="16"/>
      <c r="YU83" s="16"/>
      <c r="YV83" s="16"/>
      <c r="YW83" s="16"/>
      <c r="YX83" s="16"/>
      <c r="YY83" s="16"/>
      <c r="YZ83" s="16"/>
      <c r="ZA83" s="16"/>
      <c r="ZB83" s="16"/>
      <c r="ZC83" s="16"/>
      <c r="ZD83" s="16"/>
      <c r="ZE83" s="16"/>
      <c r="ZF83" s="16"/>
      <c r="ZG83" s="16"/>
      <c r="ZH83" s="16"/>
      <c r="ZI83" s="16"/>
      <c r="ZJ83" s="16"/>
      <c r="ZK83" s="16"/>
      <c r="ZL83" s="16"/>
      <c r="ZM83" s="16"/>
      <c r="ZN83" s="16"/>
      <c r="ZO83" s="16"/>
      <c r="ZP83" s="16"/>
      <c r="ZQ83" s="16"/>
      <c r="ZR83" s="16"/>
      <c r="ZS83" s="16"/>
      <c r="ZT83" s="16"/>
      <c r="ZU83" s="16"/>
      <c r="ZV83" s="16"/>
      <c r="ZW83" s="16"/>
      <c r="ZX83" s="16"/>
      <c r="ZY83" s="16"/>
      <c r="ZZ83" s="16"/>
      <c r="AAA83" s="16"/>
      <c r="AAB83" s="16"/>
      <c r="AAC83" s="16"/>
      <c r="AAD83" s="16"/>
      <c r="AAE83" s="16"/>
      <c r="AAF83" s="16"/>
      <c r="AAG83" s="16"/>
      <c r="AAH83" s="16"/>
      <c r="AAI83" s="16"/>
      <c r="AAJ83" s="16"/>
      <c r="AAK83" s="16"/>
      <c r="AAL83" s="16"/>
      <c r="AAM83" s="16"/>
      <c r="AAN83" s="16"/>
      <c r="AAO83" s="16"/>
      <c r="AAP83" s="16"/>
      <c r="AAQ83" s="16"/>
      <c r="AAR83" s="16"/>
      <c r="AAS83" s="16"/>
      <c r="AAT83" s="16"/>
      <c r="AAU83" s="16"/>
      <c r="AAV83" s="16"/>
      <c r="AAW83" s="16"/>
      <c r="AAX83" s="16"/>
      <c r="AAY83" s="16"/>
      <c r="AAZ83" s="16"/>
      <c r="ABA83" s="16"/>
      <c r="ABB83" s="16"/>
      <c r="ABC83" s="16"/>
      <c r="ABD83" s="16"/>
      <c r="ABE83" s="16"/>
      <c r="ABF83" s="16"/>
      <c r="ABG83" s="16"/>
      <c r="ABH83" s="16"/>
      <c r="ABI83" s="16"/>
      <c r="ABJ83" s="16"/>
      <c r="ABK83" s="16"/>
      <c r="ABL83" s="16"/>
      <c r="ABM83" s="16"/>
      <c r="ABN83" s="16"/>
      <c r="ABO83" s="16"/>
      <c r="ABP83" s="16"/>
      <c r="ABQ83" s="16"/>
      <c r="ABR83" s="16"/>
      <c r="ABS83" s="16"/>
      <c r="ABT83" s="16"/>
      <c r="ABU83" s="16"/>
      <c r="ABV83" s="16"/>
      <c r="ABW83" s="16"/>
      <c r="ABX83" s="16"/>
      <c r="ABY83" s="16"/>
      <c r="ABZ83" s="16"/>
      <c r="ACA83" s="16"/>
      <c r="ACB83" s="16"/>
      <c r="ACC83" s="16"/>
      <c r="ACD83" s="16"/>
      <c r="ACE83" s="16"/>
      <c r="ACF83" s="16"/>
      <c r="ACG83" s="16"/>
      <c r="ACH83" s="16"/>
      <c r="ACI83" s="16"/>
      <c r="ACJ83" s="16"/>
      <c r="ACK83" s="16"/>
      <c r="ACL83" s="16"/>
      <c r="ACM83" s="16"/>
      <c r="ACN83" s="16"/>
      <c r="ACO83" s="16"/>
      <c r="ACP83" s="16"/>
      <c r="ACQ83" s="16"/>
      <c r="ACR83" s="16"/>
      <c r="ACS83" s="16"/>
      <c r="ACT83" s="16"/>
      <c r="ACU83" s="16"/>
      <c r="ACV83" s="16"/>
      <c r="ACW83" s="16"/>
      <c r="ACX83" s="16"/>
      <c r="ACY83" s="16"/>
      <c r="ACZ83" s="16"/>
      <c r="ADA83" s="16"/>
      <c r="ADB83" s="16"/>
      <c r="ADC83" s="16"/>
      <c r="ADD83" s="16"/>
      <c r="ADE83" s="16"/>
      <c r="ADF83" s="16"/>
      <c r="ADG83" s="16"/>
      <c r="ADH83" s="16"/>
      <c r="ADI83" s="16"/>
      <c r="ADJ83" s="16"/>
      <c r="ADK83" s="16"/>
      <c r="ADL83" s="16"/>
      <c r="ADM83" s="16"/>
      <c r="ADN83" s="16"/>
      <c r="ADO83" s="16"/>
      <c r="ADP83" s="16"/>
      <c r="ADQ83" s="16"/>
      <c r="ADR83" s="16"/>
      <c r="ADS83" s="16"/>
      <c r="ADT83" s="16"/>
      <c r="ADU83" s="16"/>
      <c r="ADV83" s="16"/>
      <c r="ADW83" s="16"/>
      <c r="ADX83" s="16"/>
      <c r="ADY83" s="16"/>
      <c r="ADZ83" s="16"/>
      <c r="AEA83" s="16"/>
      <c r="AEB83" s="16"/>
      <c r="AEC83" s="16"/>
      <c r="AED83" s="16"/>
      <c r="AEE83" s="16"/>
      <c r="AEF83" s="16"/>
      <c r="AEG83" s="16"/>
      <c r="AEH83" s="16"/>
      <c r="AEI83" s="16"/>
      <c r="AEJ83" s="16"/>
      <c r="AEK83" s="16"/>
      <c r="AEL83" s="16"/>
      <c r="AEM83" s="16"/>
      <c r="AEN83" s="16"/>
      <c r="AEO83" s="16"/>
      <c r="AEP83" s="16"/>
      <c r="AEQ83" s="16"/>
      <c r="AER83" s="16"/>
      <c r="AES83" s="16"/>
      <c r="AET83" s="16"/>
      <c r="AEU83" s="16"/>
      <c r="AEV83" s="16"/>
      <c r="AEW83" s="16"/>
      <c r="AEX83" s="16"/>
      <c r="AEY83" s="16"/>
      <c r="AEZ83" s="16"/>
      <c r="AFA83" s="16"/>
      <c r="AFB83" s="16"/>
      <c r="AFC83" s="16"/>
      <c r="AFD83" s="16"/>
      <c r="AFE83" s="16"/>
      <c r="AFF83" s="16"/>
      <c r="AFG83" s="16"/>
      <c r="AFH83" s="16"/>
      <c r="AFI83" s="16"/>
      <c r="AFJ83" s="16"/>
      <c r="AFK83" s="16"/>
      <c r="AFL83" s="16"/>
      <c r="AFM83" s="16"/>
      <c r="AFN83" s="16"/>
      <c r="AFO83" s="16"/>
      <c r="AFP83" s="16"/>
      <c r="AFQ83" s="16"/>
      <c r="AFR83" s="16"/>
      <c r="AFS83" s="16"/>
      <c r="AFT83" s="16"/>
      <c r="AFU83" s="16"/>
      <c r="AFV83" s="16"/>
      <c r="AFW83" s="16"/>
      <c r="AFX83" s="16"/>
      <c r="AFY83" s="16"/>
      <c r="AFZ83" s="16"/>
      <c r="AGA83" s="16"/>
      <c r="AGB83" s="16"/>
      <c r="AGC83" s="16"/>
      <c r="AGD83" s="16"/>
      <c r="AGE83" s="16"/>
      <c r="AGF83" s="16"/>
    </row>
    <row r="84" spans="1:864" s="6" customFormat="1">
      <c r="A84" s="151" t="s">
        <v>232</v>
      </c>
      <c r="B84" s="34" t="s">
        <v>188</v>
      </c>
      <c r="C84" s="40" t="s">
        <v>139</v>
      </c>
      <c r="D84" s="34" t="s">
        <v>139</v>
      </c>
      <c r="E84" s="257">
        <v>0.01</v>
      </c>
      <c r="F84" s="232">
        <v>2</v>
      </c>
      <c r="G84" s="40" t="s">
        <v>411</v>
      </c>
      <c r="H84" s="29">
        <v>3</v>
      </c>
      <c r="I84" s="9">
        <v>3</v>
      </c>
      <c r="J84" s="9">
        <v>4</v>
      </c>
      <c r="K84" s="9">
        <v>3</v>
      </c>
      <c r="L84" s="9">
        <v>3</v>
      </c>
      <c r="M84" s="9">
        <v>1</v>
      </c>
      <c r="N84" s="185">
        <v>1.1713319510247036</v>
      </c>
      <c r="O84" s="159">
        <v>1.1713319510247036</v>
      </c>
      <c r="P84" s="63" t="s">
        <v>412</v>
      </c>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c r="MX84" s="16"/>
      <c r="MY84" s="16"/>
      <c r="MZ84" s="16"/>
      <c r="NA84" s="16"/>
      <c r="NB84" s="16"/>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c r="QE84" s="16"/>
      <c r="QF84" s="16"/>
      <c r="QG84" s="16"/>
      <c r="QH84" s="16"/>
      <c r="QI84" s="16"/>
      <c r="QJ84" s="16"/>
      <c r="QK84" s="16"/>
      <c r="QL84" s="16"/>
      <c r="QM84" s="16"/>
      <c r="QN84" s="16"/>
      <c r="QO84" s="16"/>
      <c r="QP84" s="16"/>
      <c r="QQ84" s="16"/>
      <c r="QR84" s="16"/>
      <c r="QS84" s="16"/>
      <c r="QT84" s="16"/>
      <c r="QU84" s="16"/>
      <c r="QV84" s="16"/>
      <c r="QW84" s="16"/>
      <c r="QX84" s="16"/>
      <c r="QY84" s="16"/>
      <c r="QZ84" s="16"/>
      <c r="RA84" s="16"/>
      <c r="RB84" s="16"/>
      <c r="RC84" s="16"/>
      <c r="RD84" s="16"/>
      <c r="RE84" s="16"/>
      <c r="RF84" s="16"/>
      <c r="RG84" s="16"/>
      <c r="RH84" s="16"/>
      <c r="RI84" s="16"/>
      <c r="RJ84" s="16"/>
      <c r="RK84" s="16"/>
      <c r="RL84" s="16"/>
      <c r="RM84" s="16"/>
      <c r="RN84" s="16"/>
      <c r="RO84" s="16"/>
      <c r="RP84" s="16"/>
      <c r="RQ84" s="16"/>
      <c r="RR84" s="16"/>
      <c r="RS84" s="16"/>
      <c r="RT84" s="16"/>
      <c r="RU84" s="16"/>
      <c r="RV84" s="16"/>
      <c r="RW84" s="16"/>
      <c r="RX84" s="16"/>
      <c r="RY84" s="16"/>
      <c r="RZ84" s="16"/>
      <c r="SA84" s="16"/>
      <c r="SB84" s="16"/>
      <c r="SC84" s="16"/>
      <c r="SD84" s="16"/>
      <c r="SE84" s="16"/>
      <c r="SF84" s="16"/>
      <c r="SG84" s="16"/>
      <c r="SH84" s="16"/>
      <c r="SI84" s="16"/>
      <c r="SJ84" s="16"/>
      <c r="SK84" s="16"/>
      <c r="SL84" s="16"/>
      <c r="SM84" s="16"/>
      <c r="SN84" s="16"/>
      <c r="SO84" s="16"/>
      <c r="SP84" s="16"/>
      <c r="SQ84" s="16"/>
      <c r="SR84" s="16"/>
      <c r="SS84" s="16"/>
      <c r="ST84" s="16"/>
      <c r="SU84" s="16"/>
      <c r="SV84" s="16"/>
      <c r="SW84" s="16"/>
      <c r="SX84" s="16"/>
      <c r="SY84" s="16"/>
      <c r="SZ84" s="16"/>
      <c r="TA84" s="16"/>
      <c r="TB84" s="16"/>
      <c r="TC84" s="16"/>
      <c r="TD84" s="16"/>
      <c r="TE84" s="16"/>
      <c r="TF84" s="16"/>
      <c r="TG84" s="16"/>
      <c r="TH84" s="16"/>
      <c r="TI84" s="16"/>
      <c r="TJ84" s="16"/>
      <c r="TK84" s="16"/>
      <c r="TL84" s="16"/>
      <c r="TM84" s="16"/>
      <c r="TN84" s="16"/>
      <c r="TO84" s="16"/>
      <c r="TP84" s="16"/>
      <c r="TQ84" s="16"/>
      <c r="TR84" s="16"/>
      <c r="TS84" s="16"/>
      <c r="TT84" s="16"/>
      <c r="TU84" s="16"/>
      <c r="TV84" s="16"/>
      <c r="TW84" s="16"/>
      <c r="TX84" s="16"/>
      <c r="TY84" s="16"/>
      <c r="TZ84" s="16"/>
      <c r="UA84" s="16"/>
      <c r="UB84" s="16"/>
      <c r="UC84" s="16"/>
      <c r="UD84" s="16"/>
      <c r="UE84" s="16"/>
      <c r="UF84" s="16"/>
      <c r="UG84" s="16"/>
      <c r="UH84" s="16"/>
      <c r="UI84" s="16"/>
      <c r="UJ84" s="16"/>
      <c r="UK84" s="16"/>
      <c r="UL84" s="16"/>
      <c r="UM84" s="16"/>
      <c r="UN84" s="16"/>
      <c r="UO84" s="16"/>
      <c r="UP84" s="16"/>
      <c r="UQ84" s="16"/>
      <c r="UR84" s="16"/>
      <c r="US84" s="16"/>
      <c r="UT84" s="16"/>
      <c r="UU84" s="16"/>
      <c r="UV84" s="16"/>
      <c r="UW84" s="16"/>
      <c r="UX84" s="16"/>
      <c r="UY84" s="16"/>
      <c r="UZ84" s="16"/>
      <c r="VA84" s="16"/>
      <c r="VB84" s="16"/>
      <c r="VC84" s="16"/>
      <c r="VD84" s="16"/>
      <c r="VE84" s="16"/>
      <c r="VF84" s="16"/>
      <c r="VG84" s="16"/>
      <c r="VH84" s="16"/>
      <c r="VI84" s="16"/>
      <c r="VJ84" s="16"/>
      <c r="VK84" s="16"/>
      <c r="VL84" s="16"/>
      <c r="VM84" s="16"/>
      <c r="VN84" s="16"/>
      <c r="VO84" s="16"/>
      <c r="VP84" s="16"/>
      <c r="VQ84" s="16"/>
      <c r="VR84" s="16"/>
      <c r="VS84" s="16"/>
      <c r="VT84" s="16"/>
      <c r="VU84" s="16"/>
      <c r="VV84" s="16"/>
      <c r="VW84" s="16"/>
      <c r="VX84" s="16"/>
      <c r="VY84" s="16"/>
      <c r="VZ84" s="16"/>
      <c r="WA84" s="16"/>
      <c r="WB84" s="16"/>
      <c r="WC84" s="16"/>
      <c r="WD84" s="16"/>
      <c r="WE84" s="16"/>
      <c r="WF84" s="16"/>
      <c r="WG84" s="16"/>
      <c r="WH84" s="16"/>
      <c r="WI84" s="16"/>
      <c r="WJ84" s="16"/>
      <c r="WK84" s="16"/>
      <c r="WL84" s="16"/>
      <c r="WM84" s="16"/>
      <c r="WN84" s="16"/>
      <c r="WO84" s="16"/>
      <c r="WP84" s="16"/>
      <c r="WQ84" s="16"/>
      <c r="WR84" s="16"/>
      <c r="WS84" s="16"/>
      <c r="WT84" s="16"/>
      <c r="WU84" s="16"/>
      <c r="WV84" s="16"/>
      <c r="WW84" s="16"/>
      <c r="WX84" s="16"/>
      <c r="WY84" s="16"/>
      <c r="WZ84" s="16"/>
      <c r="XA84" s="16"/>
      <c r="XB84" s="16"/>
      <c r="XC84" s="16"/>
      <c r="XD84" s="16"/>
      <c r="XE84" s="16"/>
      <c r="XF84" s="16"/>
      <c r="XG84" s="16"/>
      <c r="XH84" s="16"/>
      <c r="XI84" s="16"/>
      <c r="XJ84" s="16"/>
      <c r="XK84" s="16"/>
      <c r="XL84" s="16"/>
      <c r="XM84" s="16"/>
      <c r="XN84" s="16"/>
      <c r="XO84" s="16"/>
      <c r="XP84" s="16"/>
      <c r="XQ84" s="16"/>
      <c r="XR84" s="16"/>
      <c r="XS84" s="16"/>
      <c r="XT84" s="16"/>
      <c r="XU84" s="16"/>
      <c r="XV84" s="16"/>
      <c r="XW84" s="16"/>
      <c r="XX84" s="16"/>
      <c r="XY84" s="16"/>
      <c r="XZ84" s="16"/>
      <c r="YA84" s="16"/>
      <c r="YB84" s="16"/>
      <c r="YC84" s="16"/>
      <c r="YD84" s="16"/>
      <c r="YE84" s="16"/>
      <c r="YF84" s="16"/>
      <c r="YG84" s="16"/>
      <c r="YH84" s="16"/>
      <c r="YI84" s="16"/>
      <c r="YJ84" s="16"/>
      <c r="YK84" s="16"/>
      <c r="YL84" s="16"/>
      <c r="YM84" s="16"/>
      <c r="YN84" s="16"/>
      <c r="YO84" s="16"/>
      <c r="YP84" s="16"/>
      <c r="YQ84" s="16"/>
      <c r="YR84" s="16"/>
      <c r="YS84" s="16"/>
      <c r="YT84" s="16"/>
      <c r="YU84" s="16"/>
      <c r="YV84" s="16"/>
      <c r="YW84" s="16"/>
      <c r="YX84" s="16"/>
      <c r="YY84" s="16"/>
      <c r="YZ84" s="16"/>
      <c r="ZA84" s="16"/>
      <c r="ZB84" s="16"/>
      <c r="ZC84" s="16"/>
      <c r="ZD84" s="16"/>
      <c r="ZE84" s="16"/>
      <c r="ZF84" s="16"/>
      <c r="ZG84" s="16"/>
      <c r="ZH84" s="16"/>
      <c r="ZI84" s="16"/>
      <c r="ZJ84" s="16"/>
      <c r="ZK84" s="16"/>
      <c r="ZL84" s="16"/>
      <c r="ZM84" s="16"/>
      <c r="ZN84" s="16"/>
      <c r="ZO84" s="16"/>
      <c r="ZP84" s="16"/>
      <c r="ZQ84" s="16"/>
      <c r="ZR84" s="16"/>
      <c r="ZS84" s="16"/>
      <c r="ZT84" s="16"/>
      <c r="ZU84" s="16"/>
      <c r="ZV84" s="16"/>
      <c r="ZW84" s="16"/>
      <c r="ZX84" s="16"/>
      <c r="ZY84" s="16"/>
      <c r="ZZ84" s="16"/>
      <c r="AAA84" s="16"/>
      <c r="AAB84" s="16"/>
      <c r="AAC84" s="16"/>
      <c r="AAD84" s="16"/>
      <c r="AAE84" s="16"/>
      <c r="AAF84" s="16"/>
      <c r="AAG84" s="16"/>
      <c r="AAH84" s="16"/>
      <c r="AAI84" s="16"/>
      <c r="AAJ84" s="16"/>
      <c r="AAK84" s="16"/>
      <c r="AAL84" s="16"/>
      <c r="AAM84" s="16"/>
      <c r="AAN84" s="16"/>
      <c r="AAO84" s="16"/>
      <c r="AAP84" s="16"/>
      <c r="AAQ84" s="16"/>
      <c r="AAR84" s="16"/>
      <c r="AAS84" s="16"/>
      <c r="AAT84" s="16"/>
      <c r="AAU84" s="16"/>
      <c r="AAV84" s="16"/>
      <c r="AAW84" s="16"/>
      <c r="AAX84" s="16"/>
      <c r="AAY84" s="16"/>
      <c r="AAZ84" s="16"/>
      <c r="ABA84" s="16"/>
      <c r="ABB84" s="16"/>
      <c r="ABC84" s="16"/>
      <c r="ABD84" s="16"/>
      <c r="ABE84" s="16"/>
      <c r="ABF84" s="16"/>
      <c r="ABG84" s="16"/>
      <c r="ABH84" s="16"/>
      <c r="ABI84" s="16"/>
      <c r="ABJ84" s="16"/>
      <c r="ABK84" s="16"/>
      <c r="ABL84" s="16"/>
      <c r="ABM84" s="16"/>
      <c r="ABN84" s="16"/>
      <c r="ABO84" s="16"/>
      <c r="ABP84" s="16"/>
      <c r="ABQ84" s="16"/>
      <c r="ABR84" s="16"/>
      <c r="ABS84" s="16"/>
      <c r="ABT84" s="16"/>
      <c r="ABU84" s="16"/>
      <c r="ABV84" s="16"/>
      <c r="ABW84" s="16"/>
      <c r="ABX84" s="16"/>
      <c r="ABY84" s="16"/>
      <c r="ABZ84" s="16"/>
      <c r="ACA84" s="16"/>
      <c r="ACB84" s="16"/>
      <c r="ACC84" s="16"/>
      <c r="ACD84" s="16"/>
      <c r="ACE84" s="16"/>
      <c r="ACF84" s="16"/>
      <c r="ACG84" s="16"/>
      <c r="ACH84" s="16"/>
      <c r="ACI84" s="16"/>
      <c r="ACJ84" s="16"/>
      <c r="ACK84" s="16"/>
      <c r="ACL84" s="16"/>
      <c r="ACM84" s="16"/>
      <c r="ACN84" s="16"/>
      <c r="ACO84" s="16"/>
      <c r="ACP84" s="16"/>
      <c r="ACQ84" s="16"/>
      <c r="ACR84" s="16"/>
      <c r="ACS84" s="16"/>
      <c r="ACT84" s="16"/>
      <c r="ACU84" s="16"/>
      <c r="ACV84" s="16"/>
      <c r="ACW84" s="16"/>
      <c r="ACX84" s="16"/>
      <c r="ACY84" s="16"/>
      <c r="ACZ84" s="16"/>
      <c r="ADA84" s="16"/>
      <c r="ADB84" s="16"/>
      <c r="ADC84" s="16"/>
      <c r="ADD84" s="16"/>
      <c r="ADE84" s="16"/>
      <c r="ADF84" s="16"/>
      <c r="ADG84" s="16"/>
      <c r="ADH84" s="16"/>
      <c r="ADI84" s="16"/>
      <c r="ADJ84" s="16"/>
      <c r="ADK84" s="16"/>
      <c r="ADL84" s="16"/>
      <c r="ADM84" s="16"/>
      <c r="ADN84" s="16"/>
      <c r="ADO84" s="16"/>
      <c r="ADP84" s="16"/>
      <c r="ADQ84" s="16"/>
      <c r="ADR84" s="16"/>
      <c r="ADS84" s="16"/>
      <c r="ADT84" s="16"/>
      <c r="ADU84" s="16"/>
      <c r="ADV84" s="16"/>
      <c r="ADW84" s="16"/>
      <c r="ADX84" s="16"/>
      <c r="ADY84" s="16"/>
      <c r="ADZ84" s="16"/>
      <c r="AEA84" s="16"/>
      <c r="AEB84" s="16"/>
      <c r="AEC84" s="16"/>
      <c r="AED84" s="16"/>
      <c r="AEE84" s="16"/>
      <c r="AEF84" s="16"/>
      <c r="AEG84" s="16"/>
      <c r="AEH84" s="16"/>
      <c r="AEI84" s="16"/>
      <c r="AEJ84" s="16"/>
      <c r="AEK84" s="16"/>
      <c r="AEL84" s="16"/>
      <c r="AEM84" s="16"/>
      <c r="AEN84" s="16"/>
      <c r="AEO84" s="16"/>
      <c r="AEP84" s="16"/>
      <c r="AEQ84" s="16"/>
      <c r="AER84" s="16"/>
      <c r="AES84" s="16"/>
      <c r="AET84" s="16"/>
      <c r="AEU84" s="16"/>
      <c r="AEV84" s="16"/>
      <c r="AEW84" s="16"/>
      <c r="AEX84" s="16"/>
      <c r="AEY84" s="16"/>
      <c r="AEZ84" s="16"/>
      <c r="AFA84" s="16"/>
      <c r="AFB84" s="16"/>
      <c r="AFC84" s="16"/>
      <c r="AFD84" s="16"/>
      <c r="AFE84" s="16"/>
      <c r="AFF84" s="16"/>
      <c r="AFG84" s="16"/>
      <c r="AFH84" s="16"/>
      <c r="AFI84" s="16"/>
      <c r="AFJ84" s="16"/>
      <c r="AFK84" s="16"/>
      <c r="AFL84" s="16"/>
      <c r="AFM84" s="16"/>
      <c r="AFN84" s="16"/>
      <c r="AFO84" s="16"/>
      <c r="AFP84" s="16"/>
      <c r="AFQ84" s="16"/>
      <c r="AFR84" s="16"/>
      <c r="AFS84" s="16"/>
      <c r="AFT84" s="16"/>
      <c r="AFU84" s="16"/>
      <c r="AFV84" s="16"/>
      <c r="AFW84" s="16"/>
      <c r="AFX84" s="16"/>
      <c r="AFY84" s="16"/>
      <c r="AFZ84" s="16"/>
      <c r="AGA84" s="16"/>
      <c r="AGB84" s="16"/>
      <c r="AGC84" s="16"/>
      <c r="AGD84" s="16"/>
      <c r="AGE84" s="16"/>
      <c r="AGF84" s="16"/>
    </row>
    <row r="85" spans="1:864" s="6" customFormat="1">
      <c r="A85" s="151" t="s">
        <v>232</v>
      </c>
      <c r="B85" s="34" t="s">
        <v>188</v>
      </c>
      <c r="C85" s="40" t="s">
        <v>139</v>
      </c>
      <c r="D85" s="34" t="s">
        <v>139</v>
      </c>
      <c r="E85" s="257">
        <v>0.05</v>
      </c>
      <c r="F85" s="232">
        <v>2</v>
      </c>
      <c r="G85" s="40" t="s">
        <v>411</v>
      </c>
      <c r="H85" s="29">
        <v>3</v>
      </c>
      <c r="I85" s="9">
        <v>3</v>
      </c>
      <c r="J85" s="9">
        <v>4</v>
      </c>
      <c r="K85" s="9">
        <v>3</v>
      </c>
      <c r="L85" s="9">
        <v>3</v>
      </c>
      <c r="M85" s="9">
        <v>1</v>
      </c>
      <c r="N85" s="185">
        <v>1.1713319510247036</v>
      </c>
      <c r="O85" s="159">
        <v>1.1713319510247036</v>
      </c>
      <c r="P85" s="63" t="s">
        <v>412</v>
      </c>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c r="QE85" s="16"/>
      <c r="QF85" s="16"/>
      <c r="QG85" s="16"/>
      <c r="QH85" s="16"/>
      <c r="QI85" s="16"/>
      <c r="QJ85" s="16"/>
      <c r="QK85" s="16"/>
      <c r="QL85" s="16"/>
      <c r="QM85" s="16"/>
      <c r="QN85" s="16"/>
      <c r="QO85" s="16"/>
      <c r="QP85" s="16"/>
      <c r="QQ85" s="16"/>
      <c r="QR85" s="16"/>
      <c r="QS85" s="16"/>
      <c r="QT85" s="16"/>
      <c r="QU85" s="16"/>
      <c r="QV85" s="16"/>
      <c r="QW85" s="16"/>
      <c r="QX85" s="16"/>
      <c r="QY85" s="16"/>
      <c r="QZ85" s="16"/>
      <c r="RA85" s="16"/>
      <c r="RB85" s="16"/>
      <c r="RC85" s="16"/>
      <c r="RD85" s="16"/>
      <c r="RE85" s="16"/>
      <c r="RF85" s="16"/>
      <c r="RG85" s="16"/>
      <c r="RH85" s="16"/>
      <c r="RI85" s="16"/>
      <c r="RJ85" s="16"/>
      <c r="RK85" s="16"/>
      <c r="RL85" s="16"/>
      <c r="RM85" s="16"/>
      <c r="RN85" s="16"/>
      <c r="RO85" s="16"/>
      <c r="RP85" s="16"/>
      <c r="RQ85" s="16"/>
      <c r="RR85" s="16"/>
      <c r="RS85" s="16"/>
      <c r="RT85" s="16"/>
      <c r="RU85" s="16"/>
      <c r="RV85" s="16"/>
      <c r="RW85" s="16"/>
      <c r="RX85" s="16"/>
      <c r="RY85" s="16"/>
      <c r="RZ85" s="16"/>
      <c r="SA85" s="16"/>
      <c r="SB85" s="16"/>
      <c r="SC85" s="16"/>
      <c r="SD85" s="16"/>
      <c r="SE85" s="16"/>
      <c r="SF85" s="16"/>
      <c r="SG85" s="16"/>
      <c r="SH85" s="16"/>
      <c r="SI85" s="16"/>
      <c r="SJ85" s="16"/>
      <c r="SK85" s="16"/>
      <c r="SL85" s="16"/>
      <c r="SM85" s="16"/>
      <c r="SN85" s="16"/>
      <c r="SO85" s="16"/>
      <c r="SP85" s="16"/>
      <c r="SQ85" s="16"/>
      <c r="SR85" s="16"/>
      <c r="SS85" s="16"/>
      <c r="ST85" s="16"/>
      <c r="SU85" s="16"/>
      <c r="SV85" s="16"/>
      <c r="SW85" s="16"/>
      <c r="SX85" s="16"/>
      <c r="SY85" s="16"/>
      <c r="SZ85" s="16"/>
      <c r="TA85" s="16"/>
      <c r="TB85" s="16"/>
      <c r="TC85" s="16"/>
      <c r="TD85" s="16"/>
      <c r="TE85" s="16"/>
      <c r="TF85" s="16"/>
      <c r="TG85" s="16"/>
      <c r="TH85" s="16"/>
      <c r="TI85" s="16"/>
      <c r="TJ85" s="16"/>
      <c r="TK85" s="16"/>
      <c r="TL85" s="16"/>
      <c r="TM85" s="16"/>
      <c r="TN85" s="16"/>
      <c r="TO85" s="16"/>
      <c r="TP85" s="16"/>
      <c r="TQ85" s="16"/>
      <c r="TR85" s="16"/>
      <c r="TS85" s="16"/>
      <c r="TT85" s="16"/>
      <c r="TU85" s="16"/>
      <c r="TV85" s="16"/>
      <c r="TW85" s="16"/>
      <c r="TX85" s="16"/>
      <c r="TY85" s="16"/>
      <c r="TZ85" s="16"/>
      <c r="UA85" s="16"/>
      <c r="UB85" s="16"/>
      <c r="UC85" s="16"/>
      <c r="UD85" s="16"/>
      <c r="UE85" s="16"/>
      <c r="UF85" s="16"/>
      <c r="UG85" s="16"/>
      <c r="UH85" s="16"/>
      <c r="UI85" s="16"/>
      <c r="UJ85" s="16"/>
      <c r="UK85" s="16"/>
      <c r="UL85" s="16"/>
      <c r="UM85" s="16"/>
      <c r="UN85" s="16"/>
      <c r="UO85" s="16"/>
      <c r="UP85" s="16"/>
      <c r="UQ85" s="16"/>
      <c r="UR85" s="16"/>
      <c r="US85" s="16"/>
      <c r="UT85" s="16"/>
      <c r="UU85" s="16"/>
      <c r="UV85" s="16"/>
      <c r="UW85" s="16"/>
      <c r="UX85" s="16"/>
      <c r="UY85" s="16"/>
      <c r="UZ85" s="16"/>
      <c r="VA85" s="16"/>
      <c r="VB85" s="16"/>
      <c r="VC85" s="16"/>
      <c r="VD85" s="16"/>
      <c r="VE85" s="16"/>
      <c r="VF85" s="16"/>
      <c r="VG85" s="16"/>
      <c r="VH85" s="16"/>
      <c r="VI85" s="16"/>
      <c r="VJ85" s="16"/>
      <c r="VK85" s="16"/>
      <c r="VL85" s="16"/>
      <c r="VM85" s="16"/>
      <c r="VN85" s="16"/>
      <c r="VO85" s="16"/>
      <c r="VP85" s="16"/>
      <c r="VQ85" s="16"/>
      <c r="VR85" s="16"/>
      <c r="VS85" s="16"/>
      <c r="VT85" s="16"/>
      <c r="VU85" s="16"/>
      <c r="VV85" s="16"/>
      <c r="VW85" s="16"/>
      <c r="VX85" s="16"/>
      <c r="VY85" s="16"/>
      <c r="VZ85" s="16"/>
      <c r="WA85" s="16"/>
      <c r="WB85" s="16"/>
      <c r="WC85" s="16"/>
      <c r="WD85" s="16"/>
      <c r="WE85" s="16"/>
      <c r="WF85" s="16"/>
      <c r="WG85" s="16"/>
      <c r="WH85" s="16"/>
      <c r="WI85" s="16"/>
      <c r="WJ85" s="16"/>
      <c r="WK85" s="16"/>
      <c r="WL85" s="16"/>
      <c r="WM85" s="16"/>
      <c r="WN85" s="16"/>
      <c r="WO85" s="16"/>
      <c r="WP85" s="16"/>
      <c r="WQ85" s="16"/>
      <c r="WR85" s="16"/>
      <c r="WS85" s="16"/>
      <c r="WT85" s="16"/>
      <c r="WU85" s="16"/>
      <c r="WV85" s="16"/>
      <c r="WW85" s="16"/>
      <c r="WX85" s="16"/>
      <c r="WY85" s="16"/>
      <c r="WZ85" s="16"/>
      <c r="XA85" s="16"/>
      <c r="XB85" s="16"/>
      <c r="XC85" s="16"/>
      <c r="XD85" s="16"/>
      <c r="XE85" s="16"/>
      <c r="XF85" s="16"/>
      <c r="XG85" s="16"/>
      <c r="XH85" s="16"/>
      <c r="XI85" s="16"/>
      <c r="XJ85" s="16"/>
      <c r="XK85" s="16"/>
      <c r="XL85" s="16"/>
      <c r="XM85" s="16"/>
      <c r="XN85" s="16"/>
      <c r="XO85" s="16"/>
      <c r="XP85" s="16"/>
      <c r="XQ85" s="16"/>
      <c r="XR85" s="16"/>
      <c r="XS85" s="16"/>
      <c r="XT85" s="16"/>
      <c r="XU85" s="16"/>
      <c r="XV85" s="16"/>
      <c r="XW85" s="16"/>
      <c r="XX85" s="16"/>
      <c r="XY85" s="16"/>
      <c r="XZ85" s="16"/>
      <c r="YA85" s="16"/>
      <c r="YB85" s="16"/>
      <c r="YC85" s="16"/>
      <c r="YD85" s="16"/>
      <c r="YE85" s="16"/>
      <c r="YF85" s="16"/>
      <c r="YG85" s="16"/>
      <c r="YH85" s="16"/>
      <c r="YI85" s="16"/>
      <c r="YJ85" s="16"/>
      <c r="YK85" s="16"/>
      <c r="YL85" s="16"/>
      <c r="YM85" s="16"/>
      <c r="YN85" s="16"/>
      <c r="YO85" s="16"/>
      <c r="YP85" s="16"/>
      <c r="YQ85" s="16"/>
      <c r="YR85" s="16"/>
      <c r="YS85" s="16"/>
      <c r="YT85" s="16"/>
      <c r="YU85" s="16"/>
      <c r="YV85" s="16"/>
      <c r="YW85" s="16"/>
      <c r="YX85" s="16"/>
      <c r="YY85" s="16"/>
      <c r="YZ85" s="16"/>
      <c r="ZA85" s="16"/>
      <c r="ZB85" s="16"/>
      <c r="ZC85" s="16"/>
      <c r="ZD85" s="16"/>
      <c r="ZE85" s="16"/>
      <c r="ZF85" s="16"/>
      <c r="ZG85" s="16"/>
      <c r="ZH85" s="16"/>
      <c r="ZI85" s="16"/>
      <c r="ZJ85" s="16"/>
      <c r="ZK85" s="16"/>
      <c r="ZL85" s="16"/>
      <c r="ZM85" s="16"/>
      <c r="ZN85" s="16"/>
      <c r="ZO85" s="16"/>
      <c r="ZP85" s="16"/>
      <c r="ZQ85" s="16"/>
      <c r="ZR85" s="16"/>
      <c r="ZS85" s="16"/>
      <c r="ZT85" s="16"/>
      <c r="ZU85" s="16"/>
      <c r="ZV85" s="16"/>
      <c r="ZW85" s="16"/>
      <c r="ZX85" s="16"/>
      <c r="ZY85" s="16"/>
      <c r="ZZ85" s="16"/>
      <c r="AAA85" s="16"/>
      <c r="AAB85" s="16"/>
      <c r="AAC85" s="16"/>
      <c r="AAD85" s="16"/>
      <c r="AAE85" s="16"/>
      <c r="AAF85" s="16"/>
      <c r="AAG85" s="16"/>
      <c r="AAH85" s="16"/>
      <c r="AAI85" s="16"/>
      <c r="AAJ85" s="16"/>
      <c r="AAK85" s="16"/>
      <c r="AAL85" s="16"/>
      <c r="AAM85" s="16"/>
      <c r="AAN85" s="16"/>
      <c r="AAO85" s="16"/>
      <c r="AAP85" s="16"/>
      <c r="AAQ85" s="16"/>
      <c r="AAR85" s="16"/>
      <c r="AAS85" s="16"/>
      <c r="AAT85" s="16"/>
      <c r="AAU85" s="16"/>
      <c r="AAV85" s="16"/>
      <c r="AAW85" s="16"/>
      <c r="AAX85" s="16"/>
      <c r="AAY85" s="16"/>
      <c r="AAZ85" s="16"/>
      <c r="ABA85" s="16"/>
      <c r="ABB85" s="16"/>
      <c r="ABC85" s="16"/>
      <c r="ABD85" s="16"/>
      <c r="ABE85" s="16"/>
      <c r="ABF85" s="16"/>
      <c r="ABG85" s="16"/>
      <c r="ABH85" s="16"/>
      <c r="ABI85" s="16"/>
      <c r="ABJ85" s="16"/>
      <c r="ABK85" s="16"/>
      <c r="ABL85" s="16"/>
      <c r="ABM85" s="16"/>
      <c r="ABN85" s="16"/>
      <c r="ABO85" s="16"/>
      <c r="ABP85" s="16"/>
      <c r="ABQ85" s="16"/>
      <c r="ABR85" s="16"/>
      <c r="ABS85" s="16"/>
      <c r="ABT85" s="16"/>
      <c r="ABU85" s="16"/>
      <c r="ABV85" s="16"/>
      <c r="ABW85" s="16"/>
      <c r="ABX85" s="16"/>
      <c r="ABY85" s="16"/>
      <c r="ABZ85" s="16"/>
      <c r="ACA85" s="16"/>
      <c r="ACB85" s="16"/>
      <c r="ACC85" s="16"/>
      <c r="ACD85" s="16"/>
      <c r="ACE85" s="16"/>
      <c r="ACF85" s="16"/>
      <c r="ACG85" s="16"/>
      <c r="ACH85" s="16"/>
      <c r="ACI85" s="16"/>
      <c r="ACJ85" s="16"/>
      <c r="ACK85" s="16"/>
      <c r="ACL85" s="16"/>
      <c r="ACM85" s="16"/>
      <c r="ACN85" s="16"/>
      <c r="ACO85" s="16"/>
      <c r="ACP85" s="16"/>
      <c r="ACQ85" s="16"/>
      <c r="ACR85" s="16"/>
      <c r="ACS85" s="16"/>
      <c r="ACT85" s="16"/>
      <c r="ACU85" s="16"/>
      <c r="ACV85" s="16"/>
      <c r="ACW85" s="16"/>
      <c r="ACX85" s="16"/>
      <c r="ACY85" s="16"/>
      <c r="ACZ85" s="16"/>
      <c r="ADA85" s="16"/>
      <c r="ADB85" s="16"/>
      <c r="ADC85" s="16"/>
      <c r="ADD85" s="16"/>
      <c r="ADE85" s="16"/>
      <c r="ADF85" s="16"/>
      <c r="ADG85" s="16"/>
      <c r="ADH85" s="16"/>
      <c r="ADI85" s="16"/>
      <c r="ADJ85" s="16"/>
      <c r="ADK85" s="16"/>
      <c r="ADL85" s="16"/>
      <c r="ADM85" s="16"/>
      <c r="ADN85" s="16"/>
      <c r="ADO85" s="16"/>
      <c r="ADP85" s="16"/>
      <c r="ADQ85" s="16"/>
      <c r="ADR85" s="16"/>
      <c r="ADS85" s="16"/>
      <c r="ADT85" s="16"/>
      <c r="ADU85" s="16"/>
      <c r="ADV85" s="16"/>
      <c r="ADW85" s="16"/>
      <c r="ADX85" s="16"/>
      <c r="ADY85" s="16"/>
      <c r="ADZ85" s="16"/>
      <c r="AEA85" s="16"/>
      <c r="AEB85" s="16"/>
      <c r="AEC85" s="16"/>
      <c r="AED85" s="16"/>
      <c r="AEE85" s="16"/>
      <c r="AEF85" s="16"/>
      <c r="AEG85" s="16"/>
      <c r="AEH85" s="16"/>
      <c r="AEI85" s="16"/>
      <c r="AEJ85" s="16"/>
      <c r="AEK85" s="16"/>
      <c r="AEL85" s="16"/>
      <c r="AEM85" s="16"/>
      <c r="AEN85" s="16"/>
      <c r="AEO85" s="16"/>
      <c r="AEP85" s="16"/>
      <c r="AEQ85" s="16"/>
      <c r="AER85" s="16"/>
      <c r="AES85" s="16"/>
      <c r="AET85" s="16"/>
      <c r="AEU85" s="16"/>
      <c r="AEV85" s="16"/>
      <c r="AEW85" s="16"/>
      <c r="AEX85" s="16"/>
      <c r="AEY85" s="16"/>
      <c r="AEZ85" s="16"/>
      <c r="AFA85" s="16"/>
      <c r="AFB85" s="16"/>
      <c r="AFC85" s="16"/>
      <c r="AFD85" s="16"/>
      <c r="AFE85" s="16"/>
      <c r="AFF85" s="16"/>
      <c r="AFG85" s="16"/>
      <c r="AFH85" s="16"/>
      <c r="AFI85" s="16"/>
      <c r="AFJ85" s="16"/>
      <c r="AFK85" s="16"/>
      <c r="AFL85" s="16"/>
      <c r="AFM85" s="16"/>
      <c r="AFN85" s="16"/>
      <c r="AFO85" s="16"/>
      <c r="AFP85" s="16"/>
      <c r="AFQ85" s="16"/>
      <c r="AFR85" s="16"/>
      <c r="AFS85" s="16"/>
      <c r="AFT85" s="16"/>
      <c r="AFU85" s="16"/>
      <c r="AFV85" s="16"/>
      <c r="AFW85" s="16"/>
      <c r="AFX85" s="16"/>
      <c r="AFY85" s="16"/>
      <c r="AFZ85" s="16"/>
      <c r="AGA85" s="16"/>
      <c r="AGB85" s="16"/>
      <c r="AGC85" s="16"/>
      <c r="AGD85" s="16"/>
      <c r="AGE85" s="16"/>
      <c r="AGF85" s="16"/>
    </row>
    <row r="86" spans="1:864" s="6" customFormat="1">
      <c r="A86" s="151" t="s">
        <v>232</v>
      </c>
      <c r="B86" s="34" t="s">
        <v>188</v>
      </c>
      <c r="C86" s="40" t="s">
        <v>139</v>
      </c>
      <c r="D86" s="34" t="s">
        <v>139</v>
      </c>
      <c r="E86" s="257">
        <v>0.13</v>
      </c>
      <c r="F86" s="232">
        <v>2</v>
      </c>
      <c r="G86" s="40" t="s">
        <v>411</v>
      </c>
      <c r="H86" s="29">
        <v>3</v>
      </c>
      <c r="I86" s="9">
        <v>3</v>
      </c>
      <c r="J86" s="9">
        <v>4</v>
      </c>
      <c r="K86" s="9">
        <v>3</v>
      </c>
      <c r="L86" s="9">
        <v>3</v>
      </c>
      <c r="M86" s="9">
        <v>1</v>
      </c>
      <c r="N86" s="185">
        <v>1.1713319510247036</v>
      </c>
      <c r="O86" s="159">
        <v>1.1713319510247036</v>
      </c>
      <c r="P86" s="63" t="s">
        <v>412</v>
      </c>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c r="QE86" s="16"/>
      <c r="QF86" s="16"/>
      <c r="QG86" s="16"/>
      <c r="QH86" s="16"/>
      <c r="QI86" s="16"/>
      <c r="QJ86" s="16"/>
      <c r="QK86" s="16"/>
      <c r="QL86" s="16"/>
      <c r="QM86" s="16"/>
      <c r="QN86" s="16"/>
      <c r="QO86" s="16"/>
      <c r="QP86" s="16"/>
      <c r="QQ86" s="16"/>
      <c r="QR86" s="16"/>
      <c r="QS86" s="16"/>
      <c r="QT86" s="16"/>
      <c r="QU86" s="16"/>
      <c r="QV86" s="16"/>
      <c r="QW86" s="16"/>
      <c r="QX86" s="16"/>
      <c r="QY86" s="16"/>
      <c r="QZ86" s="16"/>
      <c r="RA86" s="16"/>
      <c r="RB86" s="16"/>
      <c r="RC86" s="16"/>
      <c r="RD86" s="16"/>
      <c r="RE86" s="16"/>
      <c r="RF86" s="16"/>
      <c r="RG86" s="16"/>
      <c r="RH86" s="16"/>
      <c r="RI86" s="16"/>
      <c r="RJ86" s="16"/>
      <c r="RK86" s="16"/>
      <c r="RL86" s="16"/>
      <c r="RM86" s="16"/>
      <c r="RN86" s="16"/>
      <c r="RO86" s="16"/>
      <c r="RP86" s="16"/>
      <c r="RQ86" s="16"/>
      <c r="RR86" s="16"/>
      <c r="RS86" s="16"/>
      <c r="RT86" s="16"/>
      <c r="RU86" s="16"/>
      <c r="RV86" s="16"/>
      <c r="RW86" s="16"/>
      <c r="RX86" s="16"/>
      <c r="RY86" s="16"/>
      <c r="RZ86" s="16"/>
      <c r="SA86" s="16"/>
      <c r="SB86" s="16"/>
      <c r="SC86" s="16"/>
      <c r="SD86" s="16"/>
      <c r="SE86" s="16"/>
      <c r="SF86" s="16"/>
      <c r="SG86" s="16"/>
      <c r="SH86" s="16"/>
      <c r="SI86" s="16"/>
      <c r="SJ86" s="16"/>
      <c r="SK86" s="16"/>
      <c r="SL86" s="16"/>
      <c r="SM86" s="16"/>
      <c r="SN86" s="16"/>
      <c r="SO86" s="16"/>
      <c r="SP86" s="16"/>
      <c r="SQ86" s="16"/>
      <c r="SR86" s="16"/>
      <c r="SS86" s="16"/>
      <c r="ST86" s="16"/>
      <c r="SU86" s="16"/>
      <c r="SV86" s="16"/>
      <c r="SW86" s="16"/>
      <c r="SX86" s="16"/>
      <c r="SY86" s="16"/>
      <c r="SZ86" s="16"/>
      <c r="TA86" s="16"/>
      <c r="TB86" s="16"/>
      <c r="TC86" s="16"/>
      <c r="TD86" s="16"/>
      <c r="TE86" s="16"/>
      <c r="TF86" s="16"/>
      <c r="TG86" s="16"/>
      <c r="TH86" s="16"/>
      <c r="TI86" s="16"/>
      <c r="TJ86" s="16"/>
      <c r="TK86" s="16"/>
      <c r="TL86" s="16"/>
      <c r="TM86" s="16"/>
      <c r="TN86" s="16"/>
      <c r="TO86" s="16"/>
      <c r="TP86" s="16"/>
      <c r="TQ86" s="16"/>
      <c r="TR86" s="16"/>
      <c r="TS86" s="16"/>
      <c r="TT86" s="16"/>
      <c r="TU86" s="16"/>
      <c r="TV86" s="16"/>
      <c r="TW86" s="16"/>
      <c r="TX86" s="16"/>
      <c r="TY86" s="16"/>
      <c r="TZ86" s="16"/>
      <c r="UA86" s="16"/>
      <c r="UB86" s="16"/>
      <c r="UC86" s="16"/>
      <c r="UD86" s="16"/>
      <c r="UE86" s="16"/>
      <c r="UF86" s="16"/>
      <c r="UG86" s="16"/>
      <c r="UH86" s="16"/>
      <c r="UI86" s="16"/>
      <c r="UJ86" s="16"/>
      <c r="UK86" s="16"/>
      <c r="UL86" s="16"/>
      <c r="UM86" s="16"/>
      <c r="UN86" s="16"/>
      <c r="UO86" s="16"/>
      <c r="UP86" s="16"/>
      <c r="UQ86" s="16"/>
      <c r="UR86" s="16"/>
      <c r="US86" s="16"/>
      <c r="UT86" s="16"/>
      <c r="UU86" s="16"/>
      <c r="UV86" s="16"/>
      <c r="UW86" s="16"/>
      <c r="UX86" s="16"/>
      <c r="UY86" s="16"/>
      <c r="UZ86" s="16"/>
      <c r="VA86" s="16"/>
      <c r="VB86" s="16"/>
      <c r="VC86" s="16"/>
      <c r="VD86" s="16"/>
      <c r="VE86" s="16"/>
      <c r="VF86" s="16"/>
      <c r="VG86" s="16"/>
      <c r="VH86" s="16"/>
      <c r="VI86" s="16"/>
      <c r="VJ86" s="16"/>
      <c r="VK86" s="16"/>
      <c r="VL86" s="16"/>
      <c r="VM86" s="16"/>
      <c r="VN86" s="16"/>
      <c r="VO86" s="16"/>
      <c r="VP86" s="16"/>
      <c r="VQ86" s="16"/>
      <c r="VR86" s="16"/>
      <c r="VS86" s="16"/>
      <c r="VT86" s="16"/>
      <c r="VU86" s="16"/>
      <c r="VV86" s="16"/>
      <c r="VW86" s="16"/>
      <c r="VX86" s="16"/>
      <c r="VY86" s="16"/>
      <c r="VZ86" s="16"/>
      <c r="WA86" s="16"/>
      <c r="WB86" s="16"/>
      <c r="WC86" s="16"/>
      <c r="WD86" s="16"/>
      <c r="WE86" s="16"/>
      <c r="WF86" s="16"/>
      <c r="WG86" s="16"/>
      <c r="WH86" s="16"/>
      <c r="WI86" s="16"/>
      <c r="WJ86" s="16"/>
      <c r="WK86" s="16"/>
      <c r="WL86" s="16"/>
      <c r="WM86" s="16"/>
      <c r="WN86" s="16"/>
      <c r="WO86" s="16"/>
      <c r="WP86" s="16"/>
      <c r="WQ86" s="16"/>
      <c r="WR86" s="16"/>
      <c r="WS86" s="16"/>
      <c r="WT86" s="16"/>
      <c r="WU86" s="16"/>
      <c r="WV86" s="16"/>
      <c r="WW86" s="16"/>
      <c r="WX86" s="16"/>
      <c r="WY86" s="16"/>
      <c r="WZ86" s="16"/>
      <c r="XA86" s="16"/>
      <c r="XB86" s="16"/>
      <c r="XC86" s="16"/>
      <c r="XD86" s="16"/>
      <c r="XE86" s="16"/>
      <c r="XF86" s="16"/>
      <c r="XG86" s="16"/>
      <c r="XH86" s="16"/>
      <c r="XI86" s="16"/>
      <c r="XJ86" s="16"/>
      <c r="XK86" s="16"/>
      <c r="XL86" s="16"/>
      <c r="XM86" s="16"/>
      <c r="XN86" s="16"/>
      <c r="XO86" s="16"/>
      <c r="XP86" s="16"/>
      <c r="XQ86" s="16"/>
      <c r="XR86" s="16"/>
      <c r="XS86" s="16"/>
      <c r="XT86" s="16"/>
      <c r="XU86" s="16"/>
      <c r="XV86" s="16"/>
      <c r="XW86" s="16"/>
      <c r="XX86" s="16"/>
      <c r="XY86" s="16"/>
      <c r="XZ86" s="16"/>
      <c r="YA86" s="16"/>
      <c r="YB86" s="16"/>
      <c r="YC86" s="16"/>
      <c r="YD86" s="16"/>
      <c r="YE86" s="16"/>
      <c r="YF86" s="16"/>
      <c r="YG86" s="16"/>
      <c r="YH86" s="16"/>
      <c r="YI86" s="16"/>
      <c r="YJ86" s="16"/>
      <c r="YK86" s="16"/>
      <c r="YL86" s="16"/>
      <c r="YM86" s="16"/>
      <c r="YN86" s="16"/>
      <c r="YO86" s="16"/>
      <c r="YP86" s="16"/>
      <c r="YQ86" s="16"/>
      <c r="YR86" s="16"/>
      <c r="YS86" s="16"/>
      <c r="YT86" s="16"/>
      <c r="YU86" s="16"/>
      <c r="YV86" s="16"/>
      <c r="YW86" s="16"/>
      <c r="YX86" s="16"/>
      <c r="YY86" s="16"/>
      <c r="YZ86" s="16"/>
      <c r="ZA86" s="16"/>
      <c r="ZB86" s="16"/>
      <c r="ZC86" s="16"/>
      <c r="ZD86" s="16"/>
      <c r="ZE86" s="16"/>
      <c r="ZF86" s="16"/>
      <c r="ZG86" s="16"/>
      <c r="ZH86" s="16"/>
      <c r="ZI86" s="16"/>
      <c r="ZJ86" s="16"/>
      <c r="ZK86" s="16"/>
      <c r="ZL86" s="16"/>
      <c r="ZM86" s="16"/>
      <c r="ZN86" s="16"/>
      <c r="ZO86" s="16"/>
      <c r="ZP86" s="16"/>
      <c r="ZQ86" s="16"/>
      <c r="ZR86" s="16"/>
      <c r="ZS86" s="16"/>
      <c r="ZT86" s="16"/>
      <c r="ZU86" s="16"/>
      <c r="ZV86" s="16"/>
      <c r="ZW86" s="16"/>
      <c r="ZX86" s="16"/>
      <c r="ZY86" s="16"/>
      <c r="ZZ86" s="16"/>
      <c r="AAA86" s="16"/>
      <c r="AAB86" s="16"/>
      <c r="AAC86" s="16"/>
      <c r="AAD86" s="16"/>
      <c r="AAE86" s="16"/>
      <c r="AAF86" s="16"/>
      <c r="AAG86" s="16"/>
      <c r="AAH86" s="16"/>
      <c r="AAI86" s="16"/>
      <c r="AAJ86" s="16"/>
      <c r="AAK86" s="16"/>
      <c r="AAL86" s="16"/>
      <c r="AAM86" s="16"/>
      <c r="AAN86" s="16"/>
      <c r="AAO86" s="16"/>
      <c r="AAP86" s="16"/>
      <c r="AAQ86" s="16"/>
      <c r="AAR86" s="16"/>
      <c r="AAS86" s="16"/>
      <c r="AAT86" s="16"/>
      <c r="AAU86" s="16"/>
      <c r="AAV86" s="16"/>
      <c r="AAW86" s="16"/>
      <c r="AAX86" s="16"/>
      <c r="AAY86" s="16"/>
      <c r="AAZ86" s="16"/>
      <c r="ABA86" s="16"/>
      <c r="ABB86" s="16"/>
      <c r="ABC86" s="16"/>
      <c r="ABD86" s="16"/>
      <c r="ABE86" s="16"/>
      <c r="ABF86" s="16"/>
      <c r="ABG86" s="16"/>
      <c r="ABH86" s="16"/>
      <c r="ABI86" s="16"/>
      <c r="ABJ86" s="16"/>
      <c r="ABK86" s="16"/>
      <c r="ABL86" s="16"/>
      <c r="ABM86" s="16"/>
      <c r="ABN86" s="16"/>
      <c r="ABO86" s="16"/>
      <c r="ABP86" s="16"/>
      <c r="ABQ86" s="16"/>
      <c r="ABR86" s="16"/>
      <c r="ABS86" s="16"/>
      <c r="ABT86" s="16"/>
      <c r="ABU86" s="16"/>
      <c r="ABV86" s="16"/>
      <c r="ABW86" s="16"/>
      <c r="ABX86" s="16"/>
      <c r="ABY86" s="16"/>
      <c r="ABZ86" s="16"/>
      <c r="ACA86" s="16"/>
      <c r="ACB86" s="16"/>
      <c r="ACC86" s="16"/>
      <c r="ACD86" s="16"/>
      <c r="ACE86" s="16"/>
      <c r="ACF86" s="16"/>
      <c r="ACG86" s="16"/>
      <c r="ACH86" s="16"/>
      <c r="ACI86" s="16"/>
      <c r="ACJ86" s="16"/>
      <c r="ACK86" s="16"/>
      <c r="ACL86" s="16"/>
      <c r="ACM86" s="16"/>
      <c r="ACN86" s="16"/>
      <c r="ACO86" s="16"/>
      <c r="ACP86" s="16"/>
      <c r="ACQ86" s="16"/>
      <c r="ACR86" s="16"/>
      <c r="ACS86" s="16"/>
      <c r="ACT86" s="16"/>
      <c r="ACU86" s="16"/>
      <c r="ACV86" s="16"/>
      <c r="ACW86" s="16"/>
      <c r="ACX86" s="16"/>
      <c r="ACY86" s="16"/>
      <c r="ACZ86" s="16"/>
      <c r="ADA86" s="16"/>
      <c r="ADB86" s="16"/>
      <c r="ADC86" s="16"/>
      <c r="ADD86" s="16"/>
      <c r="ADE86" s="16"/>
      <c r="ADF86" s="16"/>
      <c r="ADG86" s="16"/>
      <c r="ADH86" s="16"/>
      <c r="ADI86" s="16"/>
      <c r="ADJ86" s="16"/>
      <c r="ADK86" s="16"/>
      <c r="ADL86" s="16"/>
      <c r="ADM86" s="16"/>
      <c r="ADN86" s="16"/>
      <c r="ADO86" s="16"/>
      <c r="ADP86" s="16"/>
      <c r="ADQ86" s="16"/>
      <c r="ADR86" s="16"/>
      <c r="ADS86" s="16"/>
      <c r="ADT86" s="16"/>
      <c r="ADU86" s="16"/>
      <c r="ADV86" s="16"/>
      <c r="ADW86" s="16"/>
      <c r="ADX86" s="16"/>
      <c r="ADY86" s="16"/>
      <c r="ADZ86" s="16"/>
      <c r="AEA86" s="16"/>
      <c r="AEB86" s="16"/>
      <c r="AEC86" s="16"/>
      <c r="AED86" s="16"/>
      <c r="AEE86" s="16"/>
      <c r="AEF86" s="16"/>
      <c r="AEG86" s="16"/>
      <c r="AEH86" s="16"/>
      <c r="AEI86" s="16"/>
      <c r="AEJ86" s="16"/>
      <c r="AEK86" s="16"/>
      <c r="AEL86" s="16"/>
      <c r="AEM86" s="16"/>
      <c r="AEN86" s="16"/>
      <c r="AEO86" s="16"/>
      <c r="AEP86" s="16"/>
      <c r="AEQ86" s="16"/>
      <c r="AER86" s="16"/>
      <c r="AES86" s="16"/>
      <c r="AET86" s="16"/>
      <c r="AEU86" s="16"/>
      <c r="AEV86" s="16"/>
      <c r="AEW86" s="16"/>
      <c r="AEX86" s="16"/>
      <c r="AEY86" s="16"/>
      <c r="AEZ86" s="16"/>
      <c r="AFA86" s="16"/>
      <c r="AFB86" s="16"/>
      <c r="AFC86" s="16"/>
      <c r="AFD86" s="16"/>
      <c r="AFE86" s="16"/>
      <c r="AFF86" s="16"/>
      <c r="AFG86" s="16"/>
      <c r="AFH86" s="16"/>
      <c r="AFI86" s="16"/>
      <c r="AFJ86" s="16"/>
      <c r="AFK86" s="16"/>
      <c r="AFL86" s="16"/>
      <c r="AFM86" s="16"/>
      <c r="AFN86" s="16"/>
      <c r="AFO86" s="16"/>
      <c r="AFP86" s="16"/>
      <c r="AFQ86" s="16"/>
      <c r="AFR86" s="16"/>
      <c r="AFS86" s="16"/>
      <c r="AFT86" s="16"/>
      <c r="AFU86" s="16"/>
      <c r="AFV86" s="16"/>
      <c r="AFW86" s="16"/>
      <c r="AFX86" s="16"/>
      <c r="AFY86" s="16"/>
      <c r="AFZ86" s="16"/>
      <c r="AGA86" s="16"/>
      <c r="AGB86" s="16"/>
      <c r="AGC86" s="16"/>
      <c r="AGD86" s="16"/>
      <c r="AGE86" s="16"/>
      <c r="AGF86" s="16"/>
    </row>
    <row r="87" spans="1:864" s="6" customFormat="1">
      <c r="A87" s="151" t="s">
        <v>232</v>
      </c>
      <c r="B87" s="34" t="s">
        <v>188</v>
      </c>
      <c r="C87" s="40" t="s">
        <v>139</v>
      </c>
      <c r="D87" s="34" t="s">
        <v>139</v>
      </c>
      <c r="E87" s="257">
        <v>0.05</v>
      </c>
      <c r="F87" s="232">
        <v>2</v>
      </c>
      <c r="G87" s="40" t="s">
        <v>411</v>
      </c>
      <c r="H87" s="29">
        <v>3</v>
      </c>
      <c r="I87" s="9">
        <v>3</v>
      </c>
      <c r="J87" s="9">
        <v>4</v>
      </c>
      <c r="K87" s="9">
        <v>3</v>
      </c>
      <c r="L87" s="9">
        <v>3</v>
      </c>
      <c r="M87" s="9">
        <v>1</v>
      </c>
      <c r="N87" s="185">
        <v>1.1713319510247036</v>
      </c>
      <c r="O87" s="159">
        <v>1.1713319510247036</v>
      </c>
      <c r="P87" s="63" t="s">
        <v>412</v>
      </c>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c r="MK87" s="16"/>
      <c r="ML87" s="16"/>
      <c r="MM87" s="16"/>
      <c r="MN87" s="16"/>
      <c r="MO87" s="16"/>
      <c r="MP87" s="16"/>
      <c r="MQ87" s="16"/>
      <c r="MR87" s="16"/>
      <c r="MS87" s="16"/>
      <c r="MT87" s="16"/>
      <c r="MU87" s="16"/>
      <c r="MV87" s="16"/>
      <c r="MW87" s="16"/>
      <c r="MX87" s="16"/>
      <c r="MY87" s="16"/>
      <c r="MZ87" s="16"/>
      <c r="NA87" s="16"/>
      <c r="NB87" s="16"/>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c r="QE87" s="16"/>
      <c r="QF87" s="16"/>
      <c r="QG87" s="16"/>
      <c r="QH87" s="16"/>
      <c r="QI87" s="16"/>
      <c r="QJ87" s="16"/>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6"/>
      <c r="TT87" s="16"/>
      <c r="TU87" s="16"/>
      <c r="TV87" s="16"/>
      <c r="TW87" s="16"/>
      <c r="TX87" s="16"/>
      <c r="TY87" s="16"/>
      <c r="TZ87" s="16"/>
      <c r="UA87" s="16"/>
      <c r="UB87" s="16"/>
      <c r="UC87" s="16"/>
      <c r="UD87" s="16"/>
      <c r="UE87" s="16"/>
      <c r="UF87" s="16"/>
      <c r="UG87" s="16"/>
      <c r="UH87" s="16"/>
      <c r="UI87" s="16"/>
      <c r="UJ87" s="16"/>
      <c r="UK87" s="16"/>
      <c r="UL87" s="16"/>
      <c r="UM87" s="16"/>
      <c r="UN87" s="16"/>
      <c r="UO87" s="16"/>
      <c r="UP87" s="16"/>
      <c r="UQ87" s="16"/>
      <c r="UR87" s="16"/>
      <c r="US87" s="16"/>
      <c r="UT87" s="16"/>
      <c r="UU87" s="16"/>
      <c r="UV87" s="16"/>
      <c r="UW87" s="16"/>
      <c r="UX87" s="16"/>
      <c r="UY87" s="16"/>
      <c r="UZ87" s="16"/>
      <c r="VA87" s="16"/>
      <c r="VB87" s="16"/>
      <c r="VC87" s="16"/>
      <c r="VD87" s="16"/>
      <c r="VE87" s="16"/>
      <c r="VF87" s="16"/>
      <c r="VG87" s="16"/>
      <c r="VH87" s="16"/>
      <c r="VI87" s="16"/>
      <c r="VJ87" s="16"/>
      <c r="VK87" s="16"/>
      <c r="VL87" s="16"/>
      <c r="VM87" s="16"/>
      <c r="VN87" s="16"/>
      <c r="VO87" s="16"/>
      <c r="VP87" s="16"/>
      <c r="VQ87" s="16"/>
      <c r="VR87" s="16"/>
      <c r="VS87" s="16"/>
      <c r="VT87" s="16"/>
      <c r="VU87" s="16"/>
      <c r="VV87" s="16"/>
      <c r="VW87" s="16"/>
      <c r="VX87" s="16"/>
      <c r="VY87" s="16"/>
      <c r="VZ87" s="16"/>
      <c r="WA87" s="16"/>
      <c r="WB87" s="16"/>
      <c r="WC87" s="16"/>
      <c r="WD87" s="16"/>
      <c r="WE87" s="16"/>
      <c r="WF87" s="16"/>
      <c r="WG87" s="16"/>
      <c r="WH87" s="16"/>
      <c r="WI87" s="16"/>
      <c r="WJ87" s="16"/>
      <c r="WK87" s="16"/>
      <c r="WL87" s="16"/>
      <c r="WM87" s="16"/>
      <c r="WN87" s="16"/>
      <c r="WO87" s="16"/>
      <c r="WP87" s="16"/>
      <c r="WQ87" s="16"/>
      <c r="WR87" s="16"/>
      <c r="WS87" s="16"/>
      <c r="WT87" s="16"/>
      <c r="WU87" s="16"/>
      <c r="WV87" s="16"/>
      <c r="WW87" s="16"/>
      <c r="WX87" s="16"/>
      <c r="WY87" s="16"/>
      <c r="WZ87" s="16"/>
      <c r="XA87" s="16"/>
      <c r="XB87" s="16"/>
      <c r="XC87" s="16"/>
      <c r="XD87" s="16"/>
      <c r="XE87" s="16"/>
      <c r="XF87" s="16"/>
      <c r="XG87" s="16"/>
      <c r="XH87" s="16"/>
      <c r="XI87" s="16"/>
      <c r="XJ87" s="16"/>
      <c r="XK87" s="16"/>
      <c r="XL87" s="16"/>
      <c r="XM87" s="16"/>
      <c r="XN87" s="16"/>
      <c r="XO87" s="16"/>
      <c r="XP87" s="16"/>
      <c r="XQ87" s="16"/>
      <c r="XR87" s="16"/>
      <c r="XS87" s="16"/>
      <c r="XT87" s="16"/>
      <c r="XU87" s="16"/>
      <c r="XV87" s="16"/>
      <c r="XW87" s="16"/>
      <c r="XX87" s="16"/>
      <c r="XY87" s="16"/>
      <c r="XZ87" s="16"/>
      <c r="YA87" s="16"/>
      <c r="YB87" s="16"/>
      <c r="YC87" s="16"/>
      <c r="YD87" s="16"/>
      <c r="YE87" s="16"/>
      <c r="YF87" s="16"/>
      <c r="YG87" s="16"/>
      <c r="YH87" s="16"/>
      <c r="YI87" s="16"/>
      <c r="YJ87" s="16"/>
      <c r="YK87" s="16"/>
      <c r="YL87" s="16"/>
      <c r="YM87" s="16"/>
      <c r="YN87" s="16"/>
      <c r="YO87" s="16"/>
      <c r="YP87" s="16"/>
      <c r="YQ87" s="16"/>
      <c r="YR87" s="16"/>
      <c r="YS87" s="16"/>
      <c r="YT87" s="16"/>
      <c r="YU87" s="16"/>
      <c r="YV87" s="16"/>
      <c r="YW87" s="16"/>
      <c r="YX87" s="16"/>
      <c r="YY87" s="16"/>
      <c r="YZ87" s="16"/>
      <c r="ZA87" s="16"/>
      <c r="ZB87" s="16"/>
      <c r="ZC87" s="16"/>
      <c r="ZD87" s="16"/>
      <c r="ZE87" s="16"/>
      <c r="ZF87" s="16"/>
      <c r="ZG87" s="16"/>
      <c r="ZH87" s="16"/>
      <c r="ZI87" s="16"/>
      <c r="ZJ87" s="16"/>
      <c r="ZK87" s="16"/>
      <c r="ZL87" s="16"/>
      <c r="ZM87" s="16"/>
      <c r="ZN87" s="16"/>
      <c r="ZO87" s="16"/>
      <c r="ZP87" s="16"/>
      <c r="ZQ87" s="16"/>
      <c r="ZR87" s="16"/>
      <c r="ZS87" s="16"/>
      <c r="ZT87" s="16"/>
      <c r="ZU87" s="16"/>
      <c r="ZV87" s="16"/>
      <c r="ZW87" s="16"/>
      <c r="ZX87" s="16"/>
      <c r="ZY87" s="16"/>
      <c r="ZZ87" s="16"/>
      <c r="AAA87" s="16"/>
      <c r="AAB87" s="16"/>
      <c r="AAC87" s="16"/>
      <c r="AAD87" s="16"/>
      <c r="AAE87" s="16"/>
      <c r="AAF87" s="16"/>
      <c r="AAG87" s="16"/>
      <c r="AAH87" s="16"/>
      <c r="AAI87" s="16"/>
      <c r="AAJ87" s="16"/>
      <c r="AAK87" s="16"/>
      <c r="AAL87" s="16"/>
      <c r="AAM87" s="16"/>
      <c r="AAN87" s="16"/>
      <c r="AAO87" s="16"/>
      <c r="AAP87" s="16"/>
      <c r="AAQ87" s="16"/>
      <c r="AAR87" s="16"/>
      <c r="AAS87" s="16"/>
      <c r="AAT87" s="16"/>
      <c r="AAU87" s="16"/>
      <c r="AAV87" s="16"/>
      <c r="AAW87" s="16"/>
      <c r="AAX87" s="16"/>
      <c r="AAY87" s="16"/>
      <c r="AAZ87" s="16"/>
      <c r="ABA87" s="16"/>
      <c r="ABB87" s="16"/>
      <c r="ABC87" s="16"/>
      <c r="ABD87" s="16"/>
      <c r="ABE87" s="16"/>
      <c r="ABF87" s="16"/>
      <c r="ABG87" s="16"/>
      <c r="ABH87" s="16"/>
      <c r="ABI87" s="16"/>
      <c r="ABJ87" s="16"/>
      <c r="ABK87" s="16"/>
      <c r="ABL87" s="16"/>
      <c r="ABM87" s="16"/>
      <c r="ABN87" s="16"/>
      <c r="ABO87" s="16"/>
      <c r="ABP87" s="16"/>
      <c r="ABQ87" s="16"/>
      <c r="ABR87" s="16"/>
      <c r="ABS87" s="16"/>
      <c r="ABT87" s="16"/>
      <c r="ABU87" s="16"/>
      <c r="ABV87" s="16"/>
      <c r="ABW87" s="16"/>
      <c r="ABX87" s="16"/>
      <c r="ABY87" s="16"/>
      <c r="ABZ87" s="16"/>
      <c r="ACA87" s="16"/>
      <c r="ACB87" s="16"/>
      <c r="ACC87" s="16"/>
      <c r="ACD87" s="16"/>
      <c r="ACE87" s="16"/>
      <c r="ACF87" s="16"/>
      <c r="ACG87" s="16"/>
      <c r="ACH87" s="16"/>
      <c r="ACI87" s="16"/>
      <c r="ACJ87" s="16"/>
      <c r="ACK87" s="16"/>
      <c r="ACL87" s="16"/>
      <c r="ACM87" s="16"/>
      <c r="ACN87" s="16"/>
      <c r="ACO87" s="16"/>
      <c r="ACP87" s="16"/>
      <c r="ACQ87" s="16"/>
      <c r="ACR87" s="16"/>
      <c r="ACS87" s="16"/>
      <c r="ACT87" s="16"/>
      <c r="ACU87" s="16"/>
      <c r="ACV87" s="16"/>
      <c r="ACW87" s="16"/>
      <c r="ACX87" s="16"/>
      <c r="ACY87" s="16"/>
      <c r="ACZ87" s="16"/>
      <c r="ADA87" s="16"/>
      <c r="ADB87" s="16"/>
      <c r="ADC87" s="16"/>
      <c r="ADD87" s="16"/>
      <c r="ADE87" s="16"/>
      <c r="ADF87" s="16"/>
      <c r="ADG87" s="16"/>
      <c r="ADH87" s="16"/>
      <c r="ADI87" s="16"/>
      <c r="ADJ87" s="16"/>
      <c r="ADK87" s="16"/>
      <c r="ADL87" s="16"/>
      <c r="ADM87" s="16"/>
      <c r="ADN87" s="16"/>
      <c r="ADO87" s="16"/>
      <c r="ADP87" s="16"/>
      <c r="ADQ87" s="16"/>
      <c r="ADR87" s="16"/>
      <c r="ADS87" s="16"/>
      <c r="ADT87" s="16"/>
      <c r="ADU87" s="16"/>
      <c r="ADV87" s="16"/>
      <c r="ADW87" s="16"/>
      <c r="ADX87" s="16"/>
      <c r="ADY87" s="16"/>
      <c r="ADZ87" s="16"/>
      <c r="AEA87" s="16"/>
      <c r="AEB87" s="16"/>
      <c r="AEC87" s="16"/>
      <c r="AED87" s="16"/>
      <c r="AEE87" s="16"/>
      <c r="AEF87" s="16"/>
      <c r="AEG87" s="16"/>
      <c r="AEH87" s="16"/>
      <c r="AEI87" s="16"/>
      <c r="AEJ87" s="16"/>
      <c r="AEK87" s="16"/>
      <c r="AEL87" s="16"/>
      <c r="AEM87" s="16"/>
      <c r="AEN87" s="16"/>
      <c r="AEO87" s="16"/>
      <c r="AEP87" s="16"/>
      <c r="AEQ87" s="16"/>
      <c r="AER87" s="16"/>
      <c r="AES87" s="16"/>
      <c r="AET87" s="16"/>
      <c r="AEU87" s="16"/>
      <c r="AEV87" s="16"/>
      <c r="AEW87" s="16"/>
      <c r="AEX87" s="16"/>
      <c r="AEY87" s="16"/>
      <c r="AEZ87" s="16"/>
      <c r="AFA87" s="16"/>
      <c r="AFB87" s="16"/>
      <c r="AFC87" s="16"/>
      <c r="AFD87" s="16"/>
      <c r="AFE87" s="16"/>
      <c r="AFF87" s="16"/>
      <c r="AFG87" s="16"/>
      <c r="AFH87" s="16"/>
      <c r="AFI87" s="16"/>
      <c r="AFJ87" s="16"/>
      <c r="AFK87" s="16"/>
      <c r="AFL87" s="16"/>
      <c r="AFM87" s="16"/>
      <c r="AFN87" s="16"/>
      <c r="AFO87" s="16"/>
      <c r="AFP87" s="16"/>
      <c r="AFQ87" s="16"/>
      <c r="AFR87" s="16"/>
      <c r="AFS87" s="16"/>
      <c r="AFT87" s="16"/>
      <c r="AFU87" s="16"/>
      <c r="AFV87" s="16"/>
      <c r="AFW87" s="16"/>
      <c r="AFX87" s="16"/>
      <c r="AFY87" s="16"/>
      <c r="AFZ87" s="16"/>
      <c r="AGA87" s="16"/>
      <c r="AGB87" s="16"/>
      <c r="AGC87" s="16"/>
      <c r="AGD87" s="16"/>
      <c r="AGE87" s="16"/>
      <c r="AGF87" s="16"/>
    </row>
    <row r="88" spans="1:864" s="6" customFormat="1">
      <c r="A88" s="151" t="s">
        <v>232</v>
      </c>
      <c r="B88" s="34" t="s">
        <v>188</v>
      </c>
      <c r="C88" s="40" t="s">
        <v>139</v>
      </c>
      <c r="D88" s="34" t="s">
        <v>139</v>
      </c>
      <c r="E88" s="257">
        <v>0.1</v>
      </c>
      <c r="F88" s="232">
        <v>2</v>
      </c>
      <c r="G88" s="40" t="s">
        <v>411</v>
      </c>
      <c r="H88" s="29">
        <v>3</v>
      </c>
      <c r="I88" s="9">
        <v>3</v>
      </c>
      <c r="J88" s="9">
        <v>4</v>
      </c>
      <c r="K88" s="9">
        <v>3</v>
      </c>
      <c r="L88" s="9">
        <v>3</v>
      </c>
      <c r="M88" s="9">
        <v>1</v>
      </c>
      <c r="N88" s="185">
        <v>1.1713319510247036</v>
      </c>
      <c r="O88" s="159">
        <v>1.1713319510247036</v>
      </c>
      <c r="P88" s="63" t="s">
        <v>412</v>
      </c>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c r="MX88" s="16"/>
      <c r="MY88" s="16"/>
      <c r="MZ88" s="16"/>
      <c r="NA88" s="16"/>
      <c r="NB88" s="16"/>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c r="OP88" s="16"/>
      <c r="OQ88" s="16"/>
      <c r="OR88" s="16"/>
      <c r="OS88" s="16"/>
      <c r="OT88" s="16"/>
      <c r="OU88" s="16"/>
      <c r="OV88" s="16"/>
      <c r="OW88" s="16"/>
      <c r="OX88" s="16"/>
      <c r="OY88" s="16"/>
      <c r="OZ88" s="16"/>
      <c r="PA88" s="16"/>
      <c r="PB88" s="16"/>
      <c r="PC88" s="16"/>
      <c r="PD88" s="16"/>
      <c r="PE88" s="16"/>
      <c r="PF88" s="16"/>
      <c r="PG88" s="16"/>
      <c r="PH88" s="16"/>
      <c r="PI88" s="16"/>
      <c r="PJ88" s="16"/>
      <c r="PK88" s="16"/>
      <c r="PL88" s="16"/>
      <c r="PM88" s="16"/>
      <c r="PN88" s="16"/>
      <c r="PO88" s="16"/>
      <c r="PP88" s="16"/>
      <c r="PQ88" s="16"/>
      <c r="PR88" s="16"/>
      <c r="PS88" s="16"/>
      <c r="PT88" s="16"/>
      <c r="PU88" s="16"/>
      <c r="PV88" s="16"/>
      <c r="PW88" s="16"/>
      <c r="PX88" s="16"/>
      <c r="PY88" s="16"/>
      <c r="PZ88" s="16"/>
      <c r="QA88" s="16"/>
      <c r="QB88" s="16"/>
      <c r="QC88" s="16"/>
      <c r="QD88" s="16"/>
      <c r="QE88" s="16"/>
      <c r="QF88" s="16"/>
      <c r="QG88" s="16"/>
      <c r="QH88" s="16"/>
      <c r="QI88" s="16"/>
      <c r="QJ88" s="16"/>
      <c r="QK88" s="16"/>
      <c r="QL88" s="16"/>
      <c r="QM88" s="16"/>
      <c r="QN88" s="16"/>
      <c r="QO88" s="16"/>
      <c r="QP88" s="16"/>
      <c r="QQ88" s="16"/>
      <c r="QR88" s="16"/>
      <c r="QS88" s="16"/>
      <c r="QT88" s="16"/>
      <c r="QU88" s="16"/>
      <c r="QV88" s="16"/>
      <c r="QW88" s="16"/>
      <c r="QX88" s="16"/>
      <c r="QY88" s="16"/>
      <c r="QZ88" s="16"/>
      <c r="RA88" s="16"/>
      <c r="RB88" s="16"/>
      <c r="RC88" s="16"/>
      <c r="RD88" s="16"/>
      <c r="RE88" s="16"/>
      <c r="RF88" s="16"/>
      <c r="RG88" s="16"/>
      <c r="RH88" s="16"/>
      <c r="RI88" s="16"/>
      <c r="RJ88" s="16"/>
      <c r="RK88" s="16"/>
      <c r="RL88" s="16"/>
      <c r="RM88" s="16"/>
      <c r="RN88" s="16"/>
      <c r="RO88" s="16"/>
      <c r="RP88" s="16"/>
      <c r="RQ88" s="16"/>
      <c r="RR88" s="16"/>
      <c r="RS88" s="16"/>
      <c r="RT88" s="16"/>
      <c r="RU88" s="16"/>
      <c r="RV88" s="16"/>
      <c r="RW88" s="16"/>
      <c r="RX88" s="16"/>
      <c r="RY88" s="16"/>
      <c r="RZ88" s="16"/>
      <c r="SA88" s="16"/>
      <c r="SB88" s="16"/>
      <c r="SC88" s="16"/>
      <c r="SD88" s="16"/>
      <c r="SE88" s="16"/>
      <c r="SF88" s="16"/>
      <c r="SG88" s="16"/>
      <c r="SH88" s="16"/>
      <c r="SI88" s="16"/>
      <c r="SJ88" s="16"/>
      <c r="SK88" s="16"/>
      <c r="SL88" s="16"/>
      <c r="SM88" s="16"/>
      <c r="SN88" s="16"/>
      <c r="SO88" s="16"/>
      <c r="SP88" s="16"/>
      <c r="SQ88" s="16"/>
      <c r="SR88" s="16"/>
      <c r="SS88" s="16"/>
      <c r="ST88" s="16"/>
      <c r="SU88" s="16"/>
      <c r="SV88" s="16"/>
      <c r="SW88" s="16"/>
      <c r="SX88" s="16"/>
      <c r="SY88" s="16"/>
      <c r="SZ88" s="16"/>
      <c r="TA88" s="16"/>
      <c r="TB88" s="16"/>
      <c r="TC88" s="16"/>
      <c r="TD88" s="16"/>
      <c r="TE88" s="16"/>
      <c r="TF88" s="16"/>
      <c r="TG88" s="16"/>
      <c r="TH88" s="16"/>
      <c r="TI88" s="16"/>
      <c r="TJ88" s="16"/>
      <c r="TK88" s="16"/>
      <c r="TL88" s="16"/>
      <c r="TM88" s="16"/>
      <c r="TN88" s="16"/>
      <c r="TO88" s="16"/>
      <c r="TP88" s="16"/>
      <c r="TQ88" s="16"/>
      <c r="TR88" s="16"/>
      <c r="TS88" s="16"/>
      <c r="TT88" s="16"/>
      <c r="TU88" s="16"/>
      <c r="TV88" s="16"/>
      <c r="TW88" s="16"/>
      <c r="TX88" s="16"/>
      <c r="TY88" s="16"/>
      <c r="TZ88" s="16"/>
      <c r="UA88" s="16"/>
      <c r="UB88" s="16"/>
      <c r="UC88" s="16"/>
      <c r="UD88" s="16"/>
      <c r="UE88" s="16"/>
      <c r="UF88" s="16"/>
      <c r="UG88" s="16"/>
      <c r="UH88" s="16"/>
      <c r="UI88" s="16"/>
      <c r="UJ88" s="16"/>
      <c r="UK88" s="16"/>
      <c r="UL88" s="16"/>
      <c r="UM88" s="16"/>
      <c r="UN88" s="16"/>
      <c r="UO88" s="16"/>
      <c r="UP88" s="16"/>
      <c r="UQ88" s="16"/>
      <c r="UR88" s="16"/>
      <c r="US88" s="16"/>
      <c r="UT88" s="16"/>
      <c r="UU88" s="16"/>
      <c r="UV88" s="16"/>
      <c r="UW88" s="16"/>
      <c r="UX88" s="16"/>
      <c r="UY88" s="16"/>
      <c r="UZ88" s="16"/>
      <c r="VA88" s="16"/>
      <c r="VB88" s="16"/>
      <c r="VC88" s="16"/>
      <c r="VD88" s="16"/>
      <c r="VE88" s="16"/>
      <c r="VF88" s="16"/>
      <c r="VG88" s="16"/>
      <c r="VH88" s="16"/>
      <c r="VI88" s="16"/>
      <c r="VJ88" s="16"/>
      <c r="VK88" s="16"/>
      <c r="VL88" s="16"/>
      <c r="VM88" s="16"/>
      <c r="VN88" s="16"/>
      <c r="VO88" s="16"/>
      <c r="VP88" s="16"/>
      <c r="VQ88" s="16"/>
      <c r="VR88" s="16"/>
      <c r="VS88" s="16"/>
      <c r="VT88" s="16"/>
      <c r="VU88" s="16"/>
      <c r="VV88" s="16"/>
      <c r="VW88" s="16"/>
      <c r="VX88" s="16"/>
      <c r="VY88" s="16"/>
      <c r="VZ88" s="16"/>
      <c r="WA88" s="16"/>
      <c r="WB88" s="16"/>
      <c r="WC88" s="16"/>
      <c r="WD88" s="16"/>
      <c r="WE88" s="16"/>
      <c r="WF88" s="16"/>
      <c r="WG88" s="16"/>
      <c r="WH88" s="16"/>
      <c r="WI88" s="16"/>
      <c r="WJ88" s="16"/>
      <c r="WK88" s="16"/>
      <c r="WL88" s="16"/>
      <c r="WM88" s="16"/>
      <c r="WN88" s="16"/>
      <c r="WO88" s="16"/>
      <c r="WP88" s="16"/>
      <c r="WQ88" s="16"/>
      <c r="WR88" s="16"/>
      <c r="WS88" s="16"/>
      <c r="WT88" s="16"/>
      <c r="WU88" s="16"/>
      <c r="WV88" s="16"/>
      <c r="WW88" s="16"/>
      <c r="WX88" s="16"/>
      <c r="WY88" s="16"/>
      <c r="WZ88" s="16"/>
      <c r="XA88" s="16"/>
      <c r="XB88" s="16"/>
      <c r="XC88" s="16"/>
      <c r="XD88" s="16"/>
      <c r="XE88" s="16"/>
      <c r="XF88" s="16"/>
      <c r="XG88" s="16"/>
      <c r="XH88" s="16"/>
      <c r="XI88" s="16"/>
      <c r="XJ88" s="16"/>
      <c r="XK88" s="16"/>
      <c r="XL88" s="16"/>
      <c r="XM88" s="16"/>
      <c r="XN88" s="16"/>
      <c r="XO88" s="16"/>
      <c r="XP88" s="16"/>
      <c r="XQ88" s="16"/>
      <c r="XR88" s="16"/>
      <c r="XS88" s="16"/>
      <c r="XT88" s="16"/>
      <c r="XU88" s="16"/>
      <c r="XV88" s="16"/>
      <c r="XW88" s="16"/>
      <c r="XX88" s="16"/>
      <c r="XY88" s="16"/>
      <c r="XZ88" s="16"/>
      <c r="YA88" s="16"/>
      <c r="YB88" s="16"/>
      <c r="YC88" s="16"/>
      <c r="YD88" s="16"/>
      <c r="YE88" s="16"/>
      <c r="YF88" s="16"/>
      <c r="YG88" s="16"/>
      <c r="YH88" s="16"/>
      <c r="YI88" s="16"/>
      <c r="YJ88" s="16"/>
      <c r="YK88" s="16"/>
      <c r="YL88" s="16"/>
      <c r="YM88" s="16"/>
      <c r="YN88" s="16"/>
      <c r="YO88" s="16"/>
      <c r="YP88" s="16"/>
      <c r="YQ88" s="16"/>
      <c r="YR88" s="16"/>
      <c r="YS88" s="16"/>
      <c r="YT88" s="16"/>
      <c r="YU88" s="16"/>
      <c r="YV88" s="16"/>
      <c r="YW88" s="16"/>
      <c r="YX88" s="16"/>
      <c r="YY88" s="16"/>
      <c r="YZ88" s="16"/>
      <c r="ZA88" s="16"/>
      <c r="ZB88" s="16"/>
      <c r="ZC88" s="16"/>
      <c r="ZD88" s="16"/>
      <c r="ZE88" s="16"/>
      <c r="ZF88" s="16"/>
      <c r="ZG88" s="16"/>
      <c r="ZH88" s="16"/>
      <c r="ZI88" s="16"/>
      <c r="ZJ88" s="16"/>
      <c r="ZK88" s="16"/>
      <c r="ZL88" s="16"/>
      <c r="ZM88" s="16"/>
      <c r="ZN88" s="16"/>
      <c r="ZO88" s="16"/>
      <c r="ZP88" s="16"/>
      <c r="ZQ88" s="16"/>
      <c r="ZR88" s="16"/>
      <c r="ZS88" s="16"/>
      <c r="ZT88" s="16"/>
      <c r="ZU88" s="16"/>
      <c r="ZV88" s="16"/>
      <c r="ZW88" s="16"/>
      <c r="ZX88" s="16"/>
      <c r="ZY88" s="16"/>
      <c r="ZZ88" s="16"/>
      <c r="AAA88" s="16"/>
      <c r="AAB88" s="16"/>
      <c r="AAC88" s="16"/>
      <c r="AAD88" s="16"/>
      <c r="AAE88" s="16"/>
      <c r="AAF88" s="16"/>
      <c r="AAG88" s="16"/>
      <c r="AAH88" s="16"/>
      <c r="AAI88" s="16"/>
      <c r="AAJ88" s="16"/>
      <c r="AAK88" s="16"/>
      <c r="AAL88" s="16"/>
      <c r="AAM88" s="16"/>
      <c r="AAN88" s="16"/>
      <c r="AAO88" s="16"/>
      <c r="AAP88" s="16"/>
      <c r="AAQ88" s="16"/>
      <c r="AAR88" s="16"/>
      <c r="AAS88" s="16"/>
      <c r="AAT88" s="16"/>
      <c r="AAU88" s="16"/>
      <c r="AAV88" s="16"/>
      <c r="AAW88" s="16"/>
      <c r="AAX88" s="16"/>
      <c r="AAY88" s="16"/>
      <c r="AAZ88" s="16"/>
      <c r="ABA88" s="16"/>
      <c r="ABB88" s="16"/>
      <c r="ABC88" s="16"/>
      <c r="ABD88" s="16"/>
      <c r="ABE88" s="16"/>
      <c r="ABF88" s="16"/>
      <c r="ABG88" s="16"/>
      <c r="ABH88" s="16"/>
      <c r="ABI88" s="16"/>
      <c r="ABJ88" s="16"/>
      <c r="ABK88" s="16"/>
      <c r="ABL88" s="16"/>
      <c r="ABM88" s="16"/>
      <c r="ABN88" s="16"/>
      <c r="ABO88" s="16"/>
      <c r="ABP88" s="16"/>
      <c r="ABQ88" s="16"/>
      <c r="ABR88" s="16"/>
      <c r="ABS88" s="16"/>
      <c r="ABT88" s="16"/>
      <c r="ABU88" s="16"/>
      <c r="ABV88" s="16"/>
      <c r="ABW88" s="16"/>
      <c r="ABX88" s="16"/>
      <c r="ABY88" s="16"/>
      <c r="ABZ88" s="16"/>
      <c r="ACA88" s="16"/>
      <c r="ACB88" s="16"/>
      <c r="ACC88" s="16"/>
      <c r="ACD88" s="16"/>
      <c r="ACE88" s="16"/>
      <c r="ACF88" s="16"/>
      <c r="ACG88" s="16"/>
      <c r="ACH88" s="16"/>
      <c r="ACI88" s="16"/>
      <c r="ACJ88" s="16"/>
      <c r="ACK88" s="16"/>
      <c r="ACL88" s="16"/>
      <c r="ACM88" s="16"/>
      <c r="ACN88" s="16"/>
      <c r="ACO88" s="16"/>
      <c r="ACP88" s="16"/>
      <c r="ACQ88" s="16"/>
      <c r="ACR88" s="16"/>
      <c r="ACS88" s="16"/>
      <c r="ACT88" s="16"/>
      <c r="ACU88" s="16"/>
      <c r="ACV88" s="16"/>
      <c r="ACW88" s="16"/>
      <c r="ACX88" s="16"/>
      <c r="ACY88" s="16"/>
      <c r="ACZ88" s="16"/>
      <c r="ADA88" s="16"/>
      <c r="ADB88" s="16"/>
      <c r="ADC88" s="16"/>
      <c r="ADD88" s="16"/>
      <c r="ADE88" s="16"/>
      <c r="ADF88" s="16"/>
      <c r="ADG88" s="16"/>
      <c r="ADH88" s="16"/>
      <c r="ADI88" s="16"/>
      <c r="ADJ88" s="16"/>
      <c r="ADK88" s="16"/>
      <c r="ADL88" s="16"/>
      <c r="ADM88" s="16"/>
      <c r="ADN88" s="16"/>
      <c r="ADO88" s="16"/>
      <c r="ADP88" s="16"/>
      <c r="ADQ88" s="16"/>
      <c r="ADR88" s="16"/>
      <c r="ADS88" s="16"/>
      <c r="ADT88" s="16"/>
      <c r="ADU88" s="16"/>
      <c r="ADV88" s="16"/>
      <c r="ADW88" s="16"/>
      <c r="ADX88" s="16"/>
      <c r="ADY88" s="16"/>
      <c r="ADZ88" s="16"/>
      <c r="AEA88" s="16"/>
      <c r="AEB88" s="16"/>
      <c r="AEC88" s="16"/>
      <c r="AED88" s="16"/>
      <c r="AEE88" s="16"/>
      <c r="AEF88" s="16"/>
      <c r="AEG88" s="16"/>
      <c r="AEH88" s="16"/>
      <c r="AEI88" s="16"/>
      <c r="AEJ88" s="16"/>
      <c r="AEK88" s="16"/>
      <c r="AEL88" s="16"/>
      <c r="AEM88" s="16"/>
      <c r="AEN88" s="16"/>
      <c r="AEO88" s="16"/>
      <c r="AEP88" s="16"/>
      <c r="AEQ88" s="16"/>
      <c r="AER88" s="16"/>
      <c r="AES88" s="16"/>
      <c r="AET88" s="16"/>
      <c r="AEU88" s="16"/>
      <c r="AEV88" s="16"/>
      <c r="AEW88" s="16"/>
      <c r="AEX88" s="16"/>
      <c r="AEY88" s="16"/>
      <c r="AEZ88" s="16"/>
      <c r="AFA88" s="16"/>
      <c r="AFB88" s="16"/>
      <c r="AFC88" s="16"/>
      <c r="AFD88" s="16"/>
      <c r="AFE88" s="16"/>
      <c r="AFF88" s="16"/>
      <c r="AFG88" s="16"/>
      <c r="AFH88" s="16"/>
      <c r="AFI88" s="16"/>
      <c r="AFJ88" s="16"/>
      <c r="AFK88" s="16"/>
      <c r="AFL88" s="16"/>
      <c r="AFM88" s="16"/>
      <c r="AFN88" s="16"/>
      <c r="AFO88" s="16"/>
      <c r="AFP88" s="16"/>
      <c r="AFQ88" s="16"/>
      <c r="AFR88" s="16"/>
      <c r="AFS88" s="16"/>
      <c r="AFT88" s="16"/>
      <c r="AFU88" s="16"/>
      <c r="AFV88" s="16"/>
      <c r="AFW88" s="16"/>
      <c r="AFX88" s="16"/>
      <c r="AFY88" s="16"/>
      <c r="AFZ88" s="16"/>
      <c r="AGA88" s="16"/>
      <c r="AGB88" s="16"/>
      <c r="AGC88" s="16"/>
      <c r="AGD88" s="16"/>
      <c r="AGE88" s="16"/>
      <c r="AGF88" s="16"/>
    </row>
    <row r="89" spans="1:864" s="6" customFormat="1">
      <c r="A89" s="151" t="s">
        <v>362</v>
      </c>
      <c r="B89" s="34" t="s">
        <v>209</v>
      </c>
      <c r="C89" s="40" t="s">
        <v>139</v>
      </c>
      <c r="D89" s="34" t="s">
        <v>139</v>
      </c>
      <c r="E89" s="257" t="s">
        <v>150</v>
      </c>
      <c r="F89" s="232">
        <v>1</v>
      </c>
      <c r="G89" s="40"/>
      <c r="H89" s="29"/>
      <c r="I89" s="9"/>
      <c r="J89" s="9"/>
      <c r="K89" s="9"/>
      <c r="L89" s="9"/>
      <c r="M89" s="9"/>
      <c r="N89" s="185" t="s">
        <v>249</v>
      </c>
      <c r="O89" s="159" t="s">
        <v>249</v>
      </c>
      <c r="P89" s="63"/>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c r="MW89" s="16"/>
      <c r="MX89" s="16"/>
      <c r="MY89" s="16"/>
      <c r="MZ89" s="16"/>
      <c r="NA89" s="16"/>
      <c r="NB89" s="16"/>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c r="OP89" s="16"/>
      <c r="OQ89" s="16"/>
      <c r="OR89" s="16"/>
      <c r="OS89" s="16"/>
      <c r="OT89" s="16"/>
      <c r="OU89" s="16"/>
      <c r="OV89" s="16"/>
      <c r="OW89" s="16"/>
      <c r="OX89" s="16"/>
      <c r="OY89" s="16"/>
      <c r="OZ89" s="16"/>
      <c r="PA89" s="16"/>
      <c r="PB89" s="16"/>
      <c r="PC89" s="16"/>
      <c r="PD89" s="16"/>
      <c r="PE89" s="16"/>
      <c r="PF89" s="16"/>
      <c r="PG89" s="16"/>
      <c r="PH89" s="16"/>
      <c r="PI89" s="16"/>
      <c r="PJ89" s="16"/>
      <c r="PK89" s="16"/>
      <c r="PL89" s="16"/>
      <c r="PM89" s="16"/>
      <c r="PN89" s="16"/>
      <c r="PO89" s="16"/>
      <c r="PP89" s="16"/>
      <c r="PQ89" s="16"/>
      <c r="PR89" s="16"/>
      <c r="PS89" s="16"/>
      <c r="PT89" s="16"/>
      <c r="PU89" s="16"/>
      <c r="PV89" s="16"/>
      <c r="PW89" s="16"/>
      <c r="PX89" s="16"/>
      <c r="PY89" s="16"/>
      <c r="PZ89" s="16"/>
      <c r="QA89" s="16"/>
      <c r="QB89" s="16"/>
      <c r="QC89" s="16"/>
      <c r="QD89" s="16"/>
      <c r="QE89" s="16"/>
      <c r="QF89" s="16"/>
      <c r="QG89" s="16"/>
      <c r="QH89" s="16"/>
      <c r="QI89" s="16"/>
      <c r="QJ89" s="16"/>
      <c r="QK89" s="16"/>
      <c r="QL89" s="16"/>
      <c r="QM89" s="16"/>
      <c r="QN89" s="16"/>
      <c r="QO89" s="16"/>
      <c r="QP89" s="16"/>
      <c r="QQ89" s="16"/>
      <c r="QR89" s="16"/>
      <c r="QS89" s="16"/>
      <c r="QT89" s="16"/>
      <c r="QU89" s="16"/>
      <c r="QV89" s="16"/>
      <c r="QW89" s="16"/>
      <c r="QX89" s="16"/>
      <c r="QY89" s="16"/>
      <c r="QZ89" s="16"/>
      <c r="RA89" s="16"/>
      <c r="RB89" s="16"/>
      <c r="RC89" s="16"/>
      <c r="RD89" s="16"/>
      <c r="RE89" s="16"/>
      <c r="RF89" s="16"/>
      <c r="RG89" s="16"/>
      <c r="RH89" s="16"/>
      <c r="RI89" s="16"/>
      <c r="RJ89" s="16"/>
      <c r="RK89" s="16"/>
      <c r="RL89" s="16"/>
      <c r="RM89" s="16"/>
      <c r="RN89" s="16"/>
      <c r="RO89" s="16"/>
      <c r="RP89" s="16"/>
      <c r="RQ89" s="16"/>
      <c r="RR89" s="16"/>
      <c r="RS89" s="16"/>
      <c r="RT89" s="16"/>
      <c r="RU89" s="16"/>
      <c r="RV89" s="16"/>
      <c r="RW89" s="16"/>
      <c r="RX89" s="16"/>
      <c r="RY89" s="16"/>
      <c r="RZ89" s="16"/>
      <c r="SA89" s="16"/>
      <c r="SB89" s="16"/>
      <c r="SC89" s="16"/>
      <c r="SD89" s="16"/>
      <c r="SE89" s="16"/>
      <c r="SF89" s="16"/>
      <c r="SG89" s="16"/>
      <c r="SH89" s="16"/>
      <c r="SI89" s="16"/>
      <c r="SJ89" s="16"/>
      <c r="SK89" s="16"/>
      <c r="SL89" s="16"/>
      <c r="SM89" s="16"/>
      <c r="SN89" s="16"/>
      <c r="SO89" s="16"/>
      <c r="SP89" s="16"/>
      <c r="SQ89" s="16"/>
      <c r="SR89" s="16"/>
      <c r="SS89" s="16"/>
      <c r="ST89" s="16"/>
      <c r="SU89" s="16"/>
      <c r="SV89" s="16"/>
      <c r="SW89" s="16"/>
      <c r="SX89" s="16"/>
      <c r="SY89" s="16"/>
      <c r="SZ89" s="16"/>
      <c r="TA89" s="16"/>
      <c r="TB89" s="16"/>
      <c r="TC89" s="16"/>
      <c r="TD89" s="16"/>
      <c r="TE89" s="16"/>
      <c r="TF89" s="16"/>
      <c r="TG89" s="16"/>
      <c r="TH89" s="16"/>
      <c r="TI89" s="16"/>
      <c r="TJ89" s="16"/>
      <c r="TK89" s="16"/>
      <c r="TL89" s="16"/>
      <c r="TM89" s="16"/>
      <c r="TN89" s="16"/>
      <c r="TO89" s="16"/>
      <c r="TP89" s="16"/>
      <c r="TQ89" s="16"/>
      <c r="TR89" s="16"/>
      <c r="TS89" s="16"/>
      <c r="TT89" s="16"/>
      <c r="TU89" s="16"/>
      <c r="TV89" s="16"/>
      <c r="TW89" s="16"/>
      <c r="TX89" s="16"/>
      <c r="TY89" s="16"/>
      <c r="TZ89" s="16"/>
      <c r="UA89" s="16"/>
      <c r="UB89" s="16"/>
      <c r="UC89" s="16"/>
      <c r="UD89" s="16"/>
      <c r="UE89" s="16"/>
      <c r="UF89" s="16"/>
      <c r="UG89" s="16"/>
      <c r="UH89" s="16"/>
      <c r="UI89" s="16"/>
      <c r="UJ89" s="16"/>
      <c r="UK89" s="16"/>
      <c r="UL89" s="16"/>
      <c r="UM89" s="16"/>
      <c r="UN89" s="16"/>
      <c r="UO89" s="16"/>
      <c r="UP89" s="16"/>
      <c r="UQ89" s="16"/>
      <c r="UR89" s="16"/>
      <c r="US89" s="16"/>
      <c r="UT89" s="16"/>
      <c r="UU89" s="16"/>
      <c r="UV89" s="16"/>
      <c r="UW89" s="16"/>
      <c r="UX89" s="16"/>
      <c r="UY89" s="16"/>
      <c r="UZ89" s="16"/>
      <c r="VA89" s="16"/>
      <c r="VB89" s="16"/>
      <c r="VC89" s="16"/>
      <c r="VD89" s="16"/>
      <c r="VE89" s="16"/>
      <c r="VF89" s="16"/>
      <c r="VG89" s="16"/>
      <c r="VH89" s="16"/>
      <c r="VI89" s="16"/>
      <c r="VJ89" s="16"/>
      <c r="VK89" s="16"/>
      <c r="VL89" s="16"/>
      <c r="VM89" s="16"/>
      <c r="VN89" s="16"/>
      <c r="VO89" s="16"/>
      <c r="VP89" s="16"/>
      <c r="VQ89" s="16"/>
      <c r="VR89" s="16"/>
      <c r="VS89" s="16"/>
      <c r="VT89" s="16"/>
      <c r="VU89" s="16"/>
      <c r="VV89" s="16"/>
      <c r="VW89" s="16"/>
      <c r="VX89" s="16"/>
      <c r="VY89" s="16"/>
      <c r="VZ89" s="16"/>
      <c r="WA89" s="16"/>
      <c r="WB89" s="16"/>
      <c r="WC89" s="16"/>
      <c r="WD89" s="16"/>
      <c r="WE89" s="16"/>
      <c r="WF89" s="16"/>
      <c r="WG89" s="16"/>
      <c r="WH89" s="16"/>
      <c r="WI89" s="16"/>
      <c r="WJ89" s="16"/>
      <c r="WK89" s="16"/>
      <c r="WL89" s="16"/>
      <c r="WM89" s="16"/>
      <c r="WN89" s="16"/>
      <c r="WO89" s="16"/>
      <c r="WP89" s="16"/>
      <c r="WQ89" s="16"/>
      <c r="WR89" s="16"/>
      <c r="WS89" s="16"/>
      <c r="WT89" s="16"/>
      <c r="WU89" s="16"/>
      <c r="WV89" s="16"/>
      <c r="WW89" s="16"/>
      <c r="WX89" s="16"/>
      <c r="WY89" s="16"/>
      <c r="WZ89" s="16"/>
      <c r="XA89" s="16"/>
      <c r="XB89" s="16"/>
      <c r="XC89" s="16"/>
      <c r="XD89" s="16"/>
      <c r="XE89" s="16"/>
      <c r="XF89" s="16"/>
      <c r="XG89" s="16"/>
      <c r="XH89" s="16"/>
      <c r="XI89" s="16"/>
      <c r="XJ89" s="16"/>
      <c r="XK89" s="16"/>
      <c r="XL89" s="16"/>
      <c r="XM89" s="16"/>
      <c r="XN89" s="16"/>
      <c r="XO89" s="16"/>
      <c r="XP89" s="16"/>
      <c r="XQ89" s="16"/>
      <c r="XR89" s="16"/>
      <c r="XS89" s="16"/>
      <c r="XT89" s="16"/>
      <c r="XU89" s="16"/>
      <c r="XV89" s="16"/>
      <c r="XW89" s="16"/>
      <c r="XX89" s="16"/>
      <c r="XY89" s="16"/>
      <c r="XZ89" s="16"/>
      <c r="YA89" s="16"/>
      <c r="YB89" s="16"/>
      <c r="YC89" s="16"/>
      <c r="YD89" s="16"/>
      <c r="YE89" s="16"/>
      <c r="YF89" s="16"/>
      <c r="YG89" s="16"/>
      <c r="YH89" s="16"/>
      <c r="YI89" s="16"/>
      <c r="YJ89" s="16"/>
      <c r="YK89" s="16"/>
      <c r="YL89" s="16"/>
      <c r="YM89" s="16"/>
      <c r="YN89" s="16"/>
      <c r="YO89" s="16"/>
      <c r="YP89" s="16"/>
      <c r="YQ89" s="16"/>
      <c r="YR89" s="16"/>
      <c r="YS89" s="16"/>
      <c r="YT89" s="16"/>
      <c r="YU89" s="16"/>
      <c r="YV89" s="16"/>
      <c r="YW89" s="16"/>
      <c r="YX89" s="16"/>
      <c r="YY89" s="16"/>
      <c r="YZ89" s="16"/>
      <c r="ZA89" s="16"/>
      <c r="ZB89" s="16"/>
      <c r="ZC89" s="16"/>
      <c r="ZD89" s="16"/>
      <c r="ZE89" s="16"/>
      <c r="ZF89" s="16"/>
      <c r="ZG89" s="16"/>
      <c r="ZH89" s="16"/>
      <c r="ZI89" s="16"/>
      <c r="ZJ89" s="16"/>
      <c r="ZK89" s="16"/>
      <c r="ZL89" s="16"/>
      <c r="ZM89" s="16"/>
      <c r="ZN89" s="16"/>
      <c r="ZO89" s="16"/>
      <c r="ZP89" s="16"/>
      <c r="ZQ89" s="16"/>
      <c r="ZR89" s="16"/>
      <c r="ZS89" s="16"/>
      <c r="ZT89" s="16"/>
      <c r="ZU89" s="16"/>
      <c r="ZV89" s="16"/>
      <c r="ZW89" s="16"/>
      <c r="ZX89" s="16"/>
      <c r="ZY89" s="16"/>
      <c r="ZZ89" s="16"/>
      <c r="AAA89" s="16"/>
      <c r="AAB89" s="16"/>
      <c r="AAC89" s="16"/>
      <c r="AAD89" s="16"/>
      <c r="AAE89" s="16"/>
      <c r="AAF89" s="16"/>
      <c r="AAG89" s="16"/>
      <c r="AAH89" s="16"/>
      <c r="AAI89" s="16"/>
      <c r="AAJ89" s="16"/>
      <c r="AAK89" s="16"/>
      <c r="AAL89" s="16"/>
      <c r="AAM89" s="16"/>
      <c r="AAN89" s="16"/>
      <c r="AAO89" s="16"/>
      <c r="AAP89" s="16"/>
      <c r="AAQ89" s="16"/>
      <c r="AAR89" s="16"/>
      <c r="AAS89" s="16"/>
      <c r="AAT89" s="16"/>
      <c r="AAU89" s="16"/>
      <c r="AAV89" s="16"/>
      <c r="AAW89" s="16"/>
      <c r="AAX89" s="16"/>
      <c r="AAY89" s="16"/>
      <c r="AAZ89" s="16"/>
      <c r="ABA89" s="16"/>
      <c r="ABB89" s="16"/>
      <c r="ABC89" s="16"/>
      <c r="ABD89" s="16"/>
      <c r="ABE89" s="16"/>
      <c r="ABF89" s="16"/>
      <c r="ABG89" s="16"/>
      <c r="ABH89" s="16"/>
      <c r="ABI89" s="16"/>
      <c r="ABJ89" s="16"/>
      <c r="ABK89" s="16"/>
      <c r="ABL89" s="16"/>
      <c r="ABM89" s="16"/>
      <c r="ABN89" s="16"/>
      <c r="ABO89" s="16"/>
      <c r="ABP89" s="16"/>
      <c r="ABQ89" s="16"/>
      <c r="ABR89" s="16"/>
      <c r="ABS89" s="16"/>
      <c r="ABT89" s="16"/>
      <c r="ABU89" s="16"/>
      <c r="ABV89" s="16"/>
      <c r="ABW89" s="16"/>
      <c r="ABX89" s="16"/>
      <c r="ABY89" s="16"/>
      <c r="ABZ89" s="16"/>
      <c r="ACA89" s="16"/>
      <c r="ACB89" s="16"/>
      <c r="ACC89" s="16"/>
      <c r="ACD89" s="16"/>
      <c r="ACE89" s="16"/>
      <c r="ACF89" s="16"/>
      <c r="ACG89" s="16"/>
      <c r="ACH89" s="16"/>
      <c r="ACI89" s="16"/>
      <c r="ACJ89" s="16"/>
      <c r="ACK89" s="16"/>
      <c r="ACL89" s="16"/>
      <c r="ACM89" s="16"/>
      <c r="ACN89" s="16"/>
      <c r="ACO89" s="16"/>
      <c r="ACP89" s="16"/>
      <c r="ACQ89" s="16"/>
      <c r="ACR89" s="16"/>
      <c r="ACS89" s="16"/>
      <c r="ACT89" s="16"/>
      <c r="ACU89" s="16"/>
      <c r="ACV89" s="16"/>
      <c r="ACW89" s="16"/>
      <c r="ACX89" s="16"/>
      <c r="ACY89" s="16"/>
      <c r="ACZ89" s="16"/>
      <c r="ADA89" s="16"/>
      <c r="ADB89" s="16"/>
      <c r="ADC89" s="16"/>
      <c r="ADD89" s="16"/>
      <c r="ADE89" s="16"/>
      <c r="ADF89" s="16"/>
      <c r="ADG89" s="16"/>
      <c r="ADH89" s="16"/>
      <c r="ADI89" s="16"/>
      <c r="ADJ89" s="16"/>
      <c r="ADK89" s="16"/>
      <c r="ADL89" s="16"/>
      <c r="ADM89" s="16"/>
      <c r="ADN89" s="16"/>
      <c r="ADO89" s="16"/>
      <c r="ADP89" s="16"/>
      <c r="ADQ89" s="16"/>
      <c r="ADR89" s="16"/>
      <c r="ADS89" s="16"/>
      <c r="ADT89" s="16"/>
      <c r="ADU89" s="16"/>
      <c r="ADV89" s="16"/>
      <c r="ADW89" s="16"/>
      <c r="ADX89" s="16"/>
      <c r="ADY89" s="16"/>
      <c r="ADZ89" s="16"/>
      <c r="AEA89" s="16"/>
      <c r="AEB89" s="16"/>
      <c r="AEC89" s="16"/>
      <c r="AED89" s="16"/>
      <c r="AEE89" s="16"/>
      <c r="AEF89" s="16"/>
      <c r="AEG89" s="16"/>
      <c r="AEH89" s="16"/>
      <c r="AEI89" s="16"/>
      <c r="AEJ89" s="16"/>
      <c r="AEK89" s="16"/>
      <c r="AEL89" s="16"/>
      <c r="AEM89" s="16"/>
      <c r="AEN89" s="16"/>
      <c r="AEO89" s="16"/>
      <c r="AEP89" s="16"/>
      <c r="AEQ89" s="16"/>
      <c r="AER89" s="16"/>
      <c r="AES89" s="16"/>
      <c r="AET89" s="16"/>
      <c r="AEU89" s="16"/>
      <c r="AEV89" s="16"/>
      <c r="AEW89" s="16"/>
      <c r="AEX89" s="16"/>
      <c r="AEY89" s="16"/>
      <c r="AEZ89" s="16"/>
      <c r="AFA89" s="16"/>
      <c r="AFB89" s="16"/>
      <c r="AFC89" s="16"/>
      <c r="AFD89" s="16"/>
      <c r="AFE89" s="16"/>
      <c r="AFF89" s="16"/>
      <c r="AFG89" s="16"/>
      <c r="AFH89" s="16"/>
      <c r="AFI89" s="16"/>
      <c r="AFJ89" s="16"/>
      <c r="AFK89" s="16"/>
      <c r="AFL89" s="16"/>
      <c r="AFM89" s="16"/>
      <c r="AFN89" s="16"/>
      <c r="AFO89" s="16"/>
      <c r="AFP89" s="16"/>
      <c r="AFQ89" s="16"/>
      <c r="AFR89" s="16"/>
      <c r="AFS89" s="16"/>
      <c r="AFT89" s="16"/>
      <c r="AFU89" s="16"/>
      <c r="AFV89" s="16"/>
      <c r="AFW89" s="16"/>
      <c r="AFX89" s="16"/>
      <c r="AFY89" s="16"/>
      <c r="AFZ89" s="16"/>
      <c r="AGA89" s="16"/>
      <c r="AGB89" s="16"/>
      <c r="AGC89" s="16"/>
      <c r="AGD89" s="16"/>
      <c r="AGE89" s="16"/>
      <c r="AGF89" s="16"/>
    </row>
    <row r="90" spans="1:864" s="6" customFormat="1">
      <c r="A90" s="151" t="s">
        <v>232</v>
      </c>
      <c r="B90" s="34" t="s">
        <v>215</v>
      </c>
      <c r="C90" s="40" t="s">
        <v>139</v>
      </c>
      <c r="D90" s="34" t="s">
        <v>139</v>
      </c>
      <c r="E90" s="257" t="s">
        <v>150</v>
      </c>
      <c r="F90" s="232">
        <v>1</v>
      </c>
      <c r="G90" s="40"/>
      <c r="H90" s="29"/>
      <c r="I90" s="9"/>
      <c r="J90" s="9"/>
      <c r="K90" s="9"/>
      <c r="L90" s="9"/>
      <c r="M90" s="9"/>
      <c r="N90" s="185" t="s">
        <v>249</v>
      </c>
      <c r="O90" s="159" t="s">
        <v>249</v>
      </c>
      <c r="P90" s="63"/>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c r="ZZ90" s="16"/>
      <c r="AAA90" s="16"/>
      <c r="AAB90" s="16"/>
      <c r="AAC90" s="16"/>
      <c r="AAD90" s="16"/>
      <c r="AAE90" s="16"/>
      <c r="AAF90" s="16"/>
      <c r="AAG90" s="16"/>
      <c r="AAH90" s="16"/>
      <c r="AAI90" s="16"/>
      <c r="AAJ90" s="16"/>
      <c r="AAK90" s="16"/>
      <c r="AAL90" s="16"/>
      <c r="AAM90" s="16"/>
      <c r="AAN90" s="16"/>
      <c r="AAO90" s="16"/>
      <c r="AAP90" s="16"/>
      <c r="AAQ90" s="16"/>
      <c r="AAR90" s="16"/>
      <c r="AAS90" s="16"/>
      <c r="AAT90" s="16"/>
      <c r="AAU90" s="16"/>
      <c r="AAV90" s="16"/>
      <c r="AAW90" s="16"/>
      <c r="AAX90" s="16"/>
      <c r="AAY90" s="16"/>
      <c r="AAZ90" s="16"/>
      <c r="ABA90" s="16"/>
      <c r="ABB90" s="16"/>
      <c r="ABC90" s="16"/>
      <c r="ABD90" s="16"/>
      <c r="ABE90" s="16"/>
      <c r="ABF90" s="16"/>
      <c r="ABG90" s="16"/>
      <c r="ABH90" s="16"/>
      <c r="ABI90" s="16"/>
      <c r="ABJ90" s="16"/>
      <c r="ABK90" s="16"/>
      <c r="ABL90" s="16"/>
      <c r="ABM90" s="16"/>
      <c r="ABN90" s="16"/>
      <c r="ABO90" s="16"/>
      <c r="ABP90" s="16"/>
      <c r="ABQ90" s="16"/>
      <c r="ABR90" s="16"/>
      <c r="ABS90" s="16"/>
      <c r="ABT90" s="16"/>
      <c r="ABU90" s="16"/>
      <c r="ABV90" s="16"/>
      <c r="ABW90" s="16"/>
      <c r="ABX90" s="16"/>
      <c r="ABY90" s="16"/>
      <c r="ABZ90" s="16"/>
      <c r="ACA90" s="16"/>
      <c r="ACB90" s="16"/>
      <c r="ACC90" s="16"/>
      <c r="ACD90" s="16"/>
      <c r="ACE90" s="16"/>
      <c r="ACF90" s="16"/>
      <c r="ACG90" s="16"/>
      <c r="ACH90" s="16"/>
      <c r="ACI90" s="16"/>
      <c r="ACJ90" s="16"/>
      <c r="ACK90" s="16"/>
      <c r="ACL90" s="16"/>
      <c r="ACM90" s="16"/>
      <c r="ACN90" s="16"/>
      <c r="ACO90" s="16"/>
      <c r="ACP90" s="16"/>
      <c r="ACQ90" s="16"/>
      <c r="ACR90" s="16"/>
      <c r="ACS90" s="16"/>
      <c r="ACT90" s="16"/>
      <c r="ACU90" s="16"/>
      <c r="ACV90" s="16"/>
      <c r="ACW90" s="16"/>
      <c r="ACX90" s="16"/>
      <c r="ACY90" s="16"/>
      <c r="ACZ90" s="16"/>
      <c r="ADA90" s="16"/>
      <c r="ADB90" s="16"/>
      <c r="ADC90" s="16"/>
      <c r="ADD90" s="16"/>
      <c r="ADE90" s="16"/>
      <c r="ADF90" s="16"/>
      <c r="ADG90" s="16"/>
      <c r="ADH90" s="16"/>
      <c r="ADI90" s="16"/>
      <c r="ADJ90" s="16"/>
      <c r="ADK90" s="16"/>
      <c r="ADL90" s="16"/>
      <c r="ADM90" s="16"/>
      <c r="ADN90" s="16"/>
      <c r="ADO90" s="16"/>
      <c r="ADP90" s="16"/>
      <c r="ADQ90" s="16"/>
      <c r="ADR90" s="16"/>
      <c r="ADS90" s="16"/>
      <c r="ADT90" s="16"/>
      <c r="ADU90" s="16"/>
      <c r="ADV90" s="16"/>
      <c r="ADW90" s="16"/>
      <c r="ADX90" s="16"/>
      <c r="ADY90" s="16"/>
      <c r="ADZ90" s="16"/>
      <c r="AEA90" s="16"/>
      <c r="AEB90" s="16"/>
      <c r="AEC90" s="16"/>
      <c r="AED90" s="16"/>
      <c r="AEE90" s="16"/>
      <c r="AEF90" s="16"/>
      <c r="AEG90" s="16"/>
      <c r="AEH90" s="16"/>
      <c r="AEI90" s="16"/>
      <c r="AEJ90" s="16"/>
      <c r="AEK90" s="16"/>
      <c r="AEL90" s="16"/>
      <c r="AEM90" s="16"/>
      <c r="AEN90" s="16"/>
      <c r="AEO90" s="16"/>
      <c r="AEP90" s="16"/>
      <c r="AEQ90" s="16"/>
      <c r="AER90" s="16"/>
      <c r="AES90" s="16"/>
      <c r="AET90" s="16"/>
      <c r="AEU90" s="16"/>
      <c r="AEV90" s="16"/>
      <c r="AEW90" s="16"/>
      <c r="AEX90" s="16"/>
      <c r="AEY90" s="16"/>
      <c r="AEZ90" s="16"/>
      <c r="AFA90" s="16"/>
      <c r="AFB90" s="16"/>
      <c r="AFC90" s="16"/>
      <c r="AFD90" s="16"/>
      <c r="AFE90" s="16"/>
      <c r="AFF90" s="16"/>
      <c r="AFG90" s="16"/>
      <c r="AFH90" s="16"/>
      <c r="AFI90" s="16"/>
      <c r="AFJ90" s="16"/>
      <c r="AFK90" s="16"/>
      <c r="AFL90" s="16"/>
      <c r="AFM90" s="16"/>
      <c r="AFN90" s="16"/>
      <c r="AFO90" s="16"/>
      <c r="AFP90" s="16"/>
      <c r="AFQ90" s="16"/>
      <c r="AFR90" s="16"/>
      <c r="AFS90" s="16"/>
      <c r="AFT90" s="16"/>
      <c r="AFU90" s="16"/>
      <c r="AFV90" s="16"/>
      <c r="AFW90" s="16"/>
      <c r="AFX90" s="16"/>
      <c r="AFY90" s="16"/>
      <c r="AFZ90" s="16"/>
      <c r="AGA90" s="16"/>
      <c r="AGB90" s="16"/>
      <c r="AGC90" s="16"/>
      <c r="AGD90" s="16"/>
      <c r="AGE90" s="16"/>
      <c r="AGF90" s="16"/>
    </row>
  </sheetData>
  <conditionalFormatting sqref="H49:M54">
    <cfRule type="dataBar" priority="106">
      <dataBar>
        <cfvo type="min"/>
        <cfvo type="num" val="4"/>
        <color rgb="FFFFC000"/>
      </dataBar>
      <extLst>
        <ext xmlns:x14="http://schemas.microsoft.com/office/spreadsheetml/2009/9/main" uri="{B025F937-C7B1-47D3-B67F-A62EFF666E3E}">
          <x14:id>{CED4BDB8-2B43-46F9-A7BC-62DAEBD774F1}</x14:id>
        </ext>
      </extLst>
    </cfRule>
  </conditionalFormatting>
  <conditionalFormatting sqref="H49:M70">
    <cfRule type="cellIs" dxfId="155" priority="80" stopIfTrue="1" operator="notBetween">
      <formula>1</formula>
      <formula>4</formula>
    </cfRule>
  </conditionalFormatting>
  <conditionalFormatting sqref="H55:M55">
    <cfRule type="dataBar" priority="101">
      <dataBar>
        <cfvo type="min"/>
        <cfvo type="num" val="4"/>
        <color rgb="FFFFC000"/>
      </dataBar>
      <extLst>
        <ext xmlns:x14="http://schemas.microsoft.com/office/spreadsheetml/2009/9/main" uri="{B025F937-C7B1-47D3-B67F-A62EFF666E3E}">
          <x14:id>{6C25D8CA-56B5-4400-862C-8467A76A9AE7}</x14:id>
        </ext>
      </extLst>
    </cfRule>
  </conditionalFormatting>
  <conditionalFormatting sqref="H56:M66">
    <cfRule type="dataBar" priority="96">
      <dataBar>
        <cfvo type="min"/>
        <cfvo type="num" val="4"/>
        <color rgb="FFFFC000"/>
      </dataBar>
      <extLst>
        <ext xmlns:x14="http://schemas.microsoft.com/office/spreadsheetml/2009/9/main" uri="{B025F937-C7B1-47D3-B67F-A62EFF666E3E}">
          <x14:id>{0C838D9C-D6AC-4434-8762-857AB02CE660}</x14:id>
        </ext>
      </extLst>
    </cfRule>
  </conditionalFormatting>
  <conditionalFormatting sqref="H67:M68">
    <cfRule type="dataBar" priority="91">
      <dataBar>
        <cfvo type="min"/>
        <cfvo type="num" val="4"/>
        <color rgb="FFFFC000"/>
      </dataBar>
      <extLst>
        <ext xmlns:x14="http://schemas.microsoft.com/office/spreadsheetml/2009/9/main" uri="{B025F937-C7B1-47D3-B67F-A62EFF666E3E}">
          <x14:id>{85E7BA30-E1AA-483F-9475-FAD4BF812939}</x14:id>
        </ext>
      </extLst>
    </cfRule>
  </conditionalFormatting>
  <conditionalFormatting sqref="H69:M69">
    <cfRule type="dataBar" priority="86">
      <dataBar>
        <cfvo type="min"/>
        <cfvo type="num" val="4"/>
        <color rgb="FFFFC000"/>
      </dataBar>
      <extLst>
        <ext xmlns:x14="http://schemas.microsoft.com/office/spreadsheetml/2009/9/main" uri="{B025F937-C7B1-47D3-B67F-A62EFF666E3E}">
          <x14:id>{AB61AEBD-9CD8-408D-A3DE-9E7533FC1F80}</x14:id>
        </ext>
      </extLst>
    </cfRule>
  </conditionalFormatting>
  <conditionalFormatting sqref="H70:M70">
    <cfRule type="dataBar" priority="81">
      <dataBar>
        <cfvo type="min"/>
        <cfvo type="num" val="4"/>
        <color rgb="FFFFC000"/>
      </dataBar>
      <extLst>
        <ext xmlns:x14="http://schemas.microsoft.com/office/spreadsheetml/2009/9/main" uri="{B025F937-C7B1-47D3-B67F-A62EFF666E3E}">
          <x14:id>{828BCDD3-E769-459E-AC9A-BD675F4A6478}</x14:id>
        </ext>
      </extLst>
    </cfRule>
  </conditionalFormatting>
  <conditionalFormatting sqref="H72:M90">
    <cfRule type="cellIs" dxfId="154" priority="66" stopIfTrue="1" operator="notBetween">
      <formula>1</formula>
      <formula>4</formula>
    </cfRule>
    <cfRule type="dataBar" priority="67">
      <dataBar>
        <cfvo type="min"/>
        <cfvo type="num" val="4"/>
        <color rgb="FFFFC000"/>
      </dataBar>
      <extLst>
        <ext xmlns:x14="http://schemas.microsoft.com/office/spreadsheetml/2009/9/main" uri="{B025F937-C7B1-47D3-B67F-A62EFF666E3E}">
          <x14:id>{6F974FB4-87B1-425B-96F7-E73F33DB1105}</x14:id>
        </ext>
      </extLst>
    </cfRule>
  </conditionalFormatting>
  <conditionalFormatting sqref="H49:O70">
    <cfRule type="containsBlanks" dxfId="153" priority="78" stopIfTrue="1">
      <formula>LEN(TRIM(H49))=0</formula>
    </cfRule>
  </conditionalFormatting>
  <conditionalFormatting sqref="H72:O90">
    <cfRule type="containsBlanks" dxfId="152" priority="64" stopIfTrue="1">
      <formula>LEN(TRIM(H72))=0</formula>
    </cfRule>
  </conditionalFormatting>
  <conditionalFormatting sqref="N49:O54">
    <cfRule type="dataBar" priority="107">
      <dataBar>
        <cfvo type="min"/>
        <cfvo type="max"/>
        <color rgb="FF3FCDFF"/>
      </dataBar>
      <extLst>
        <ext xmlns:x14="http://schemas.microsoft.com/office/spreadsheetml/2009/9/main" uri="{B025F937-C7B1-47D3-B67F-A62EFF666E3E}">
          <x14:id>{9E01D811-CF35-4F9E-9AA3-C8ED5C186500}</x14:id>
        </ext>
      </extLst>
    </cfRule>
  </conditionalFormatting>
  <conditionalFormatting sqref="N55:O55">
    <cfRule type="dataBar" priority="102">
      <dataBar>
        <cfvo type="min"/>
        <cfvo type="max"/>
        <color rgb="FF3FCDFF"/>
      </dataBar>
      <extLst>
        <ext xmlns:x14="http://schemas.microsoft.com/office/spreadsheetml/2009/9/main" uri="{B025F937-C7B1-47D3-B67F-A62EFF666E3E}">
          <x14:id>{47076DB0-82E6-4E89-A42F-8DB7DD1E5C55}</x14:id>
        </ext>
      </extLst>
    </cfRule>
  </conditionalFormatting>
  <conditionalFormatting sqref="N56:O66">
    <cfRule type="dataBar" priority="97">
      <dataBar>
        <cfvo type="min"/>
        <cfvo type="max"/>
        <color rgb="FF3FCDFF"/>
      </dataBar>
      <extLst>
        <ext xmlns:x14="http://schemas.microsoft.com/office/spreadsheetml/2009/9/main" uri="{B025F937-C7B1-47D3-B67F-A62EFF666E3E}">
          <x14:id>{72973EDC-0280-40D6-8D90-0C8C305408DC}</x14:id>
        </ext>
      </extLst>
    </cfRule>
  </conditionalFormatting>
  <conditionalFormatting sqref="N67:O68">
    <cfRule type="dataBar" priority="92">
      <dataBar>
        <cfvo type="min"/>
        <cfvo type="max"/>
        <color rgb="FF3FCDFF"/>
      </dataBar>
      <extLst>
        <ext xmlns:x14="http://schemas.microsoft.com/office/spreadsheetml/2009/9/main" uri="{B025F937-C7B1-47D3-B67F-A62EFF666E3E}">
          <x14:id>{2CA96A5B-1AA2-4D79-A3E8-322DB5080269}</x14:id>
        </ext>
      </extLst>
    </cfRule>
  </conditionalFormatting>
  <conditionalFormatting sqref="N69:O69">
    <cfRule type="dataBar" priority="87">
      <dataBar>
        <cfvo type="min"/>
        <cfvo type="max"/>
        <color rgb="FF3FCDFF"/>
      </dataBar>
      <extLst>
        <ext xmlns:x14="http://schemas.microsoft.com/office/spreadsheetml/2009/9/main" uri="{B025F937-C7B1-47D3-B67F-A62EFF666E3E}">
          <x14:id>{49942011-9816-4CD9-B909-7A74FD757376}</x14:id>
        </ext>
      </extLst>
    </cfRule>
  </conditionalFormatting>
  <conditionalFormatting sqref="N70:O70">
    <cfRule type="dataBar" priority="82">
      <dataBar>
        <cfvo type="min"/>
        <cfvo type="max"/>
        <color rgb="FF3FCDFF"/>
      </dataBar>
      <extLst>
        <ext xmlns:x14="http://schemas.microsoft.com/office/spreadsheetml/2009/9/main" uri="{B025F937-C7B1-47D3-B67F-A62EFF666E3E}">
          <x14:id>{CA41E25F-12DC-48F8-AA7E-5778934E205E}</x14:id>
        </ext>
      </extLst>
    </cfRule>
  </conditionalFormatting>
  <conditionalFormatting sqref="N72:O90">
    <cfRule type="dataBar" priority="68">
      <dataBar>
        <cfvo type="min"/>
        <cfvo type="max"/>
        <color rgb="FF3FCDFF"/>
      </dataBar>
      <extLst>
        <ext xmlns:x14="http://schemas.microsoft.com/office/spreadsheetml/2009/9/main" uri="{B025F937-C7B1-47D3-B67F-A62EFF666E3E}">
          <x14:id>{003738EE-D777-4643-BFB3-A81BBB8D055A}</x14:id>
        </ext>
      </extLst>
    </cfRule>
  </conditionalFormatting>
  <conditionalFormatting sqref="N3:S3">
    <cfRule type="cellIs" dxfId="151" priority="13" stopIfTrue="1" operator="notBetween">
      <formula>1</formula>
      <formula>4</formula>
    </cfRule>
    <cfRule type="dataBar" priority="14">
      <dataBar>
        <cfvo type="min"/>
        <cfvo type="num" val="4"/>
        <color rgb="FFFFC000"/>
      </dataBar>
      <extLst>
        <ext xmlns:x14="http://schemas.microsoft.com/office/spreadsheetml/2009/9/main" uri="{B025F937-C7B1-47D3-B67F-A62EFF666E3E}">
          <x14:id>{11A247E4-8193-4EFF-8153-7E4C26CB5FB5}</x14:id>
        </ext>
      </extLst>
    </cfRule>
  </conditionalFormatting>
  <conditionalFormatting sqref="N3:S8">
    <cfRule type="containsBlanks" dxfId="150" priority="22" stopIfTrue="1">
      <formula>LEN(TRIM(N3))=0</formula>
    </cfRule>
  </conditionalFormatting>
  <conditionalFormatting sqref="N4:S5">
    <cfRule type="dataBar" priority="24">
      <dataBar>
        <cfvo type="min"/>
        <cfvo type="num" val="4"/>
        <color rgb="FFFFC000"/>
      </dataBar>
      <extLst>
        <ext xmlns:x14="http://schemas.microsoft.com/office/spreadsheetml/2009/9/main" uri="{B025F937-C7B1-47D3-B67F-A62EFF666E3E}">
          <x14:id>{098227F2-29EF-47FC-B69B-B979CD3A9D84}</x14:id>
        </ext>
      </extLst>
    </cfRule>
  </conditionalFormatting>
  <conditionalFormatting sqref="N4:S8">
    <cfRule type="cellIs" dxfId="149" priority="23" stopIfTrue="1" operator="notBetween">
      <formula>1</formula>
      <formula>4</formula>
    </cfRule>
  </conditionalFormatting>
  <conditionalFormatting sqref="N6:S6">
    <cfRule type="dataBar" priority="51">
      <dataBar>
        <cfvo type="min"/>
        <cfvo type="num" val="4"/>
        <color rgb="FFFFC000"/>
      </dataBar>
      <extLst>
        <ext xmlns:x14="http://schemas.microsoft.com/office/spreadsheetml/2009/9/main" uri="{B025F937-C7B1-47D3-B67F-A62EFF666E3E}">
          <x14:id>{77AACC97-1CCC-4B0C-B065-46C715470B88}</x14:id>
        </ext>
      </extLst>
    </cfRule>
  </conditionalFormatting>
  <conditionalFormatting sqref="N7:S7">
    <cfRule type="dataBar" priority="48">
      <dataBar>
        <cfvo type="min"/>
        <cfvo type="num" val="4"/>
        <color rgb="FFFFC000"/>
      </dataBar>
      <extLst>
        <ext xmlns:x14="http://schemas.microsoft.com/office/spreadsheetml/2009/9/main" uri="{B025F937-C7B1-47D3-B67F-A62EFF666E3E}">
          <x14:id>{749E49F8-B537-4179-91D5-CBF3D4886121}</x14:id>
        </ext>
      </extLst>
    </cfRule>
  </conditionalFormatting>
  <conditionalFormatting sqref="N8:S8">
    <cfRule type="dataBar" priority="108">
      <dataBar>
        <cfvo type="min"/>
        <cfvo type="num" val="4"/>
        <color rgb="FFFFC000"/>
      </dataBar>
      <extLst>
        <ext xmlns:x14="http://schemas.microsoft.com/office/spreadsheetml/2009/9/main" uri="{B025F937-C7B1-47D3-B67F-A62EFF666E3E}">
          <x14:id>{7CBE5C74-6F3F-4C26-BE3A-3EAE518BAAC8}</x14:id>
        </ext>
      </extLst>
    </cfRule>
  </conditionalFormatting>
  <conditionalFormatting sqref="N9:S9">
    <cfRule type="dataBar" priority="2">
      <dataBar>
        <cfvo type="min"/>
        <cfvo type="num" val="4"/>
        <color rgb="FFFFC000"/>
      </dataBar>
      <extLst>
        <ext xmlns:x14="http://schemas.microsoft.com/office/spreadsheetml/2009/9/main" uri="{B025F937-C7B1-47D3-B67F-A62EFF666E3E}">
          <x14:id>{4AB36D01-71F4-4158-B194-37D3FEF66478}</x14:id>
        </ext>
      </extLst>
    </cfRule>
    <cfRule type="cellIs" dxfId="148" priority="1" stopIfTrue="1" operator="notBetween">
      <formula>1</formula>
      <formula>4</formula>
    </cfRule>
  </conditionalFormatting>
  <conditionalFormatting sqref="N9:S16">
    <cfRule type="containsBlanks" dxfId="147" priority="6" stopIfTrue="1">
      <formula>LEN(TRIM(N9))=0</formula>
    </cfRule>
  </conditionalFormatting>
  <conditionalFormatting sqref="N10:S10">
    <cfRule type="dataBar" priority="42">
      <dataBar>
        <cfvo type="min"/>
        <cfvo type="num" val="4"/>
        <color rgb="FFFFC000"/>
      </dataBar>
      <extLst>
        <ext xmlns:x14="http://schemas.microsoft.com/office/spreadsheetml/2009/9/main" uri="{B025F937-C7B1-47D3-B67F-A62EFF666E3E}">
          <x14:id>{183BB53B-800B-472E-B5FB-8C408105EFEA}</x14:id>
        </ext>
      </extLst>
    </cfRule>
  </conditionalFormatting>
  <conditionalFormatting sqref="N10:S16">
    <cfRule type="cellIs" dxfId="146" priority="26" stopIfTrue="1" operator="notBetween">
      <formula>1</formula>
      <formula>4</formula>
    </cfRule>
  </conditionalFormatting>
  <conditionalFormatting sqref="N11:S11">
    <cfRule type="dataBar" priority="39">
      <dataBar>
        <cfvo type="min"/>
        <cfvo type="num" val="4"/>
        <color rgb="FFFFC000"/>
      </dataBar>
      <extLst>
        <ext xmlns:x14="http://schemas.microsoft.com/office/spreadsheetml/2009/9/main" uri="{B025F937-C7B1-47D3-B67F-A62EFF666E3E}">
          <x14:id>{F14AC64B-7DE5-41A7-BCEB-68D84FA827C4}</x14:id>
        </ext>
      </extLst>
    </cfRule>
  </conditionalFormatting>
  <conditionalFormatting sqref="N12:S12">
    <cfRule type="dataBar" priority="36">
      <dataBar>
        <cfvo type="min"/>
        <cfvo type="num" val="4"/>
        <color rgb="FFFFC000"/>
      </dataBar>
      <extLst>
        <ext xmlns:x14="http://schemas.microsoft.com/office/spreadsheetml/2009/9/main" uri="{B025F937-C7B1-47D3-B67F-A62EFF666E3E}">
          <x14:id>{773CBF14-2DEA-488F-871A-1382E543D36B}</x14:id>
        </ext>
      </extLst>
    </cfRule>
  </conditionalFormatting>
  <conditionalFormatting sqref="N13:S13">
    <cfRule type="dataBar" priority="63">
      <dataBar>
        <cfvo type="min"/>
        <cfvo type="num" val="4"/>
        <color rgb="FFFFC000"/>
      </dataBar>
      <extLst>
        <ext xmlns:x14="http://schemas.microsoft.com/office/spreadsheetml/2009/9/main" uri="{B025F937-C7B1-47D3-B67F-A62EFF666E3E}">
          <x14:id>{B0270D70-6A7B-477C-9953-625921F848B0}</x14:id>
        </ext>
      </extLst>
    </cfRule>
  </conditionalFormatting>
  <conditionalFormatting sqref="N14:S14">
    <cfRule type="dataBar" priority="27">
      <dataBar>
        <cfvo type="min"/>
        <cfvo type="num" val="4"/>
        <color rgb="FFFFC000"/>
      </dataBar>
      <extLst>
        <ext xmlns:x14="http://schemas.microsoft.com/office/spreadsheetml/2009/9/main" uri="{B025F937-C7B1-47D3-B67F-A62EFF666E3E}">
          <x14:id>{58FA1A0B-515C-4240-8C93-AFC322B7231A}</x14:id>
        </ext>
      </extLst>
    </cfRule>
  </conditionalFormatting>
  <conditionalFormatting sqref="N15:S16">
    <cfRule type="dataBar" priority="60">
      <dataBar>
        <cfvo type="min"/>
        <cfvo type="num" val="4"/>
        <color rgb="FFFFC000"/>
      </dataBar>
      <extLst>
        <ext xmlns:x14="http://schemas.microsoft.com/office/spreadsheetml/2009/9/main" uri="{B025F937-C7B1-47D3-B67F-A62EFF666E3E}">
          <x14:id>{F3D4A6A2-42A6-4144-A152-539DCB1C97FE}</x14:id>
        </ext>
      </extLst>
    </cfRule>
  </conditionalFormatting>
  <conditionalFormatting sqref="N18:S18">
    <cfRule type="dataBar" priority="57">
      <dataBar>
        <cfvo type="min"/>
        <cfvo type="num" val="4"/>
        <color rgb="FFFFC000"/>
      </dataBar>
      <extLst>
        <ext xmlns:x14="http://schemas.microsoft.com/office/spreadsheetml/2009/9/main" uri="{B025F937-C7B1-47D3-B67F-A62EFF666E3E}">
          <x14:id>{A4DC2CE7-7B52-49D0-9047-E6C002813CA1}</x14:id>
        </ext>
      </extLst>
    </cfRule>
  </conditionalFormatting>
  <conditionalFormatting sqref="N18:S21">
    <cfRule type="cellIs" dxfId="145" priority="17" stopIfTrue="1" operator="notBetween">
      <formula>1</formula>
      <formula>4</formula>
    </cfRule>
    <cfRule type="containsBlanks" dxfId="144" priority="16" stopIfTrue="1">
      <formula>LEN(TRIM(N18))=0</formula>
    </cfRule>
  </conditionalFormatting>
  <conditionalFormatting sqref="N19:S20">
    <cfRule type="dataBar" priority="54">
      <dataBar>
        <cfvo type="min"/>
        <cfvo type="num" val="4"/>
        <color rgb="FFFFC000"/>
      </dataBar>
      <extLst>
        <ext xmlns:x14="http://schemas.microsoft.com/office/spreadsheetml/2009/9/main" uri="{B025F937-C7B1-47D3-B67F-A62EFF666E3E}">
          <x14:id>{D210F2AE-BF6B-4ED0-A28B-D31A2F774D82}</x14:id>
        </ext>
      </extLst>
    </cfRule>
  </conditionalFormatting>
  <conditionalFormatting sqref="N21:S21">
    <cfRule type="dataBar" priority="18">
      <dataBar>
        <cfvo type="min"/>
        <cfvo type="num" val="4"/>
        <color rgb="FFFFC000"/>
      </dataBar>
      <extLst>
        <ext xmlns:x14="http://schemas.microsoft.com/office/spreadsheetml/2009/9/main" uri="{B025F937-C7B1-47D3-B67F-A62EFF666E3E}">
          <x14:id>{430FF404-6E6B-4F5B-B531-18A00EA629AC}</x14:id>
        </ext>
      </extLst>
    </cfRule>
  </conditionalFormatting>
  <conditionalFormatting sqref="N23:S39">
    <cfRule type="cellIs" dxfId="143" priority="32" stopIfTrue="1" operator="notBetween">
      <formula>1</formula>
      <formula>4</formula>
    </cfRule>
    <cfRule type="containsBlanks" dxfId="142" priority="31" stopIfTrue="1">
      <formula>LEN(TRIM(N23))=0</formula>
    </cfRule>
  </conditionalFormatting>
  <conditionalFormatting sqref="N25:S25">
    <cfRule type="dataBar" priority="74">
      <dataBar>
        <cfvo type="min"/>
        <cfvo type="num" val="4"/>
        <color rgb="FFFFC000"/>
      </dataBar>
      <extLst>
        <ext xmlns:x14="http://schemas.microsoft.com/office/spreadsheetml/2009/9/main" uri="{B025F937-C7B1-47D3-B67F-A62EFF666E3E}">
          <x14:id>{3D60EF11-5011-4E47-8C5D-BDDD19E0C8BC}</x14:id>
        </ext>
      </extLst>
    </cfRule>
  </conditionalFormatting>
  <conditionalFormatting sqref="N28:S28 N33:S33 N39:S39 N44:S44">
    <cfRule type="dataBar" priority="8523">
      <dataBar>
        <cfvo type="min"/>
        <cfvo type="num" val="4"/>
        <color rgb="FFFFC000"/>
      </dataBar>
      <extLst>
        <ext xmlns:x14="http://schemas.microsoft.com/office/spreadsheetml/2009/9/main" uri="{B025F937-C7B1-47D3-B67F-A62EFF666E3E}">
          <x14:id>{6A889C20-06E3-4377-81C1-1A9D26BCE6E6}</x14:id>
        </ext>
      </extLst>
    </cfRule>
  </conditionalFormatting>
  <conditionalFormatting sqref="N29:S30">
    <cfRule type="dataBar" priority="33">
      <dataBar>
        <cfvo type="min"/>
        <cfvo type="num" val="4"/>
        <color rgb="FFFFC000"/>
      </dataBar>
      <extLst>
        <ext xmlns:x14="http://schemas.microsoft.com/office/spreadsheetml/2009/9/main" uri="{B025F937-C7B1-47D3-B67F-A62EFF666E3E}">
          <x14:id>{EA188CB4-272F-4004-9488-4E2F9C4EBFF9}</x14:id>
        </ext>
      </extLst>
    </cfRule>
  </conditionalFormatting>
  <conditionalFormatting sqref="N31:S32 N26:S27 N23:S24">
    <cfRule type="dataBar" priority="8518">
      <dataBar>
        <cfvo type="min"/>
        <cfvo type="num" val="4"/>
        <color rgb="FFFFC000"/>
      </dataBar>
      <extLst>
        <ext xmlns:x14="http://schemas.microsoft.com/office/spreadsheetml/2009/9/main" uri="{B025F937-C7B1-47D3-B67F-A62EFF666E3E}">
          <x14:id>{7F2E9E5F-9374-4787-BDB0-DB55407BBA3A}</x14:id>
        </ext>
      </extLst>
    </cfRule>
  </conditionalFormatting>
  <conditionalFormatting sqref="N36:S36">
    <cfRule type="dataBar" priority="10">
      <dataBar>
        <cfvo type="min"/>
        <cfvo type="num" val="4"/>
        <color rgb="FFFFC000"/>
      </dataBar>
      <extLst>
        <ext xmlns:x14="http://schemas.microsoft.com/office/spreadsheetml/2009/9/main" uri="{B025F937-C7B1-47D3-B67F-A62EFF666E3E}">
          <x14:id>{4C533ADA-9FA9-40D7-AECE-3753F6DF96FE}</x14:id>
        </ext>
      </extLst>
    </cfRule>
  </conditionalFormatting>
  <conditionalFormatting sqref="N40:S41">
    <cfRule type="dataBar" priority="9">
      <dataBar>
        <cfvo type="min"/>
        <cfvo type="num" val="4"/>
        <color rgb="FFFFC000"/>
      </dataBar>
      <extLst>
        <ext xmlns:x14="http://schemas.microsoft.com/office/spreadsheetml/2009/9/main" uri="{B025F937-C7B1-47D3-B67F-A62EFF666E3E}">
          <x14:id>{3560060C-C296-4802-8803-B599D21A6325}</x14:id>
        </ext>
      </extLst>
    </cfRule>
    <cfRule type="cellIs" dxfId="141" priority="8" stopIfTrue="1" operator="notBetween">
      <formula>1</formula>
      <formula>4</formula>
    </cfRule>
    <cfRule type="containsBlanks" dxfId="140" priority="7" stopIfTrue="1">
      <formula>LEN(TRIM(N40))=0</formula>
    </cfRule>
  </conditionalFormatting>
  <conditionalFormatting sqref="N42:S43 N37:S38 N34:S35">
    <cfRule type="dataBar" priority="11">
      <dataBar>
        <cfvo type="min"/>
        <cfvo type="num" val="4"/>
        <color rgb="FFFFC000"/>
      </dataBar>
      <extLst>
        <ext xmlns:x14="http://schemas.microsoft.com/office/spreadsheetml/2009/9/main" uri="{B025F937-C7B1-47D3-B67F-A62EFF666E3E}">
          <x14:id>{4DC3E28D-4833-47F2-9D1A-4E7344575146}</x14:id>
        </ext>
      </extLst>
    </cfRule>
  </conditionalFormatting>
  <conditionalFormatting sqref="N42:S44">
    <cfRule type="containsBlanks" dxfId="139" priority="69" stopIfTrue="1">
      <formula>LEN(TRIM(N42))=0</formula>
    </cfRule>
    <cfRule type="cellIs" dxfId="138" priority="70" stopIfTrue="1" operator="notBetween">
      <formula>1</formula>
      <formula>4</formula>
    </cfRule>
  </conditionalFormatting>
  <conditionalFormatting sqref="P49:P70">
    <cfRule type="containsText" dxfId="137" priority="79" operator="containsText" text="Actual TC">
      <formula>NOT(ISERROR(SEARCH("Actual TC",P49)))</formula>
    </cfRule>
  </conditionalFormatting>
  <conditionalFormatting sqref="P72:P79 P84:P90">
    <cfRule type="containsText" dxfId="136" priority="65" operator="containsText" text="Actual TC">
      <formula>NOT(ISERROR(SEARCH("Actual TC",P72)))</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ED4BDB8-2B43-46F9-A7BC-62DAEBD774F1}">
            <x14:dataBar minLength="0" maxLength="100" gradient="0">
              <x14:cfvo type="autoMin"/>
              <x14:cfvo type="num">
                <xm:f>4</xm:f>
              </x14:cfvo>
              <x14:negativeFillColor rgb="FFFF0000"/>
              <x14:axisColor rgb="FF000000"/>
            </x14:dataBar>
          </x14:cfRule>
          <xm:sqref>H49:M54</xm:sqref>
        </x14:conditionalFormatting>
        <x14:conditionalFormatting xmlns:xm="http://schemas.microsoft.com/office/excel/2006/main">
          <x14:cfRule type="dataBar" id="{6C25D8CA-56B5-4400-862C-8467A76A9AE7}">
            <x14:dataBar minLength="0" maxLength="100" gradient="0">
              <x14:cfvo type="autoMin"/>
              <x14:cfvo type="num">
                <xm:f>4</xm:f>
              </x14:cfvo>
              <x14:negativeFillColor rgb="FFFF0000"/>
              <x14:axisColor rgb="FF000000"/>
            </x14:dataBar>
          </x14:cfRule>
          <xm:sqref>H55:M55</xm:sqref>
        </x14:conditionalFormatting>
        <x14:conditionalFormatting xmlns:xm="http://schemas.microsoft.com/office/excel/2006/main">
          <x14:cfRule type="dataBar" id="{0C838D9C-D6AC-4434-8762-857AB02CE660}">
            <x14:dataBar minLength="0" maxLength="100" gradient="0">
              <x14:cfvo type="autoMin"/>
              <x14:cfvo type="num">
                <xm:f>4</xm:f>
              </x14:cfvo>
              <x14:negativeFillColor rgb="FFFF0000"/>
              <x14:axisColor rgb="FF000000"/>
            </x14:dataBar>
          </x14:cfRule>
          <xm:sqref>H56:M66</xm:sqref>
        </x14:conditionalFormatting>
        <x14:conditionalFormatting xmlns:xm="http://schemas.microsoft.com/office/excel/2006/main">
          <x14:cfRule type="dataBar" id="{85E7BA30-E1AA-483F-9475-FAD4BF812939}">
            <x14:dataBar minLength="0" maxLength="100" gradient="0">
              <x14:cfvo type="autoMin"/>
              <x14:cfvo type="num">
                <xm:f>4</xm:f>
              </x14:cfvo>
              <x14:negativeFillColor rgb="FFFF0000"/>
              <x14:axisColor rgb="FF000000"/>
            </x14:dataBar>
          </x14:cfRule>
          <xm:sqref>H67:M68</xm:sqref>
        </x14:conditionalFormatting>
        <x14:conditionalFormatting xmlns:xm="http://schemas.microsoft.com/office/excel/2006/main">
          <x14:cfRule type="dataBar" id="{AB61AEBD-9CD8-408D-A3DE-9E7533FC1F80}">
            <x14:dataBar minLength="0" maxLength="100" gradient="0">
              <x14:cfvo type="autoMin"/>
              <x14:cfvo type="num">
                <xm:f>4</xm:f>
              </x14:cfvo>
              <x14:negativeFillColor rgb="FFFF0000"/>
              <x14:axisColor rgb="FF000000"/>
            </x14:dataBar>
          </x14:cfRule>
          <xm:sqref>H69:M69</xm:sqref>
        </x14:conditionalFormatting>
        <x14:conditionalFormatting xmlns:xm="http://schemas.microsoft.com/office/excel/2006/main">
          <x14:cfRule type="dataBar" id="{828BCDD3-E769-459E-AC9A-BD675F4A6478}">
            <x14:dataBar minLength="0" maxLength="100" gradient="0">
              <x14:cfvo type="autoMin"/>
              <x14:cfvo type="num">
                <xm:f>4</xm:f>
              </x14:cfvo>
              <x14:negativeFillColor rgb="FFFF0000"/>
              <x14:axisColor rgb="FF000000"/>
            </x14:dataBar>
          </x14:cfRule>
          <xm:sqref>H70:M70</xm:sqref>
        </x14:conditionalFormatting>
        <x14:conditionalFormatting xmlns:xm="http://schemas.microsoft.com/office/excel/2006/main">
          <x14:cfRule type="dataBar" id="{6F974FB4-87B1-425B-96F7-E73F33DB1105}">
            <x14:dataBar minLength="0" maxLength="100" gradient="0">
              <x14:cfvo type="autoMin"/>
              <x14:cfvo type="num">
                <xm:f>4</xm:f>
              </x14:cfvo>
              <x14:negativeFillColor rgb="FFFF0000"/>
              <x14:axisColor rgb="FF000000"/>
            </x14:dataBar>
          </x14:cfRule>
          <xm:sqref>H72:M90</xm:sqref>
        </x14:conditionalFormatting>
        <x14:conditionalFormatting xmlns:xm="http://schemas.microsoft.com/office/excel/2006/main">
          <x14:cfRule type="dataBar" id="{9E01D811-CF35-4F9E-9AA3-C8ED5C186500}">
            <x14:dataBar minLength="0" maxLength="100" gradient="0">
              <x14:cfvo type="autoMin"/>
              <x14:cfvo type="autoMax"/>
              <x14:negativeFillColor rgb="FFFF0000"/>
              <x14:axisColor rgb="FF000000"/>
            </x14:dataBar>
          </x14:cfRule>
          <xm:sqref>N49:O54</xm:sqref>
        </x14:conditionalFormatting>
        <x14:conditionalFormatting xmlns:xm="http://schemas.microsoft.com/office/excel/2006/main">
          <x14:cfRule type="dataBar" id="{47076DB0-82E6-4E89-A42F-8DB7DD1E5C55}">
            <x14:dataBar minLength="0" maxLength="100" gradient="0">
              <x14:cfvo type="autoMin"/>
              <x14:cfvo type="autoMax"/>
              <x14:negativeFillColor rgb="FFFF0000"/>
              <x14:axisColor rgb="FF000000"/>
            </x14:dataBar>
          </x14:cfRule>
          <xm:sqref>N55:O55</xm:sqref>
        </x14:conditionalFormatting>
        <x14:conditionalFormatting xmlns:xm="http://schemas.microsoft.com/office/excel/2006/main">
          <x14:cfRule type="dataBar" id="{72973EDC-0280-40D6-8D90-0C8C305408DC}">
            <x14:dataBar minLength="0" maxLength="100" gradient="0">
              <x14:cfvo type="autoMin"/>
              <x14:cfvo type="autoMax"/>
              <x14:negativeFillColor rgb="FFFF0000"/>
              <x14:axisColor rgb="FF000000"/>
            </x14:dataBar>
          </x14:cfRule>
          <xm:sqref>N56:O66</xm:sqref>
        </x14:conditionalFormatting>
        <x14:conditionalFormatting xmlns:xm="http://schemas.microsoft.com/office/excel/2006/main">
          <x14:cfRule type="dataBar" id="{2CA96A5B-1AA2-4D79-A3E8-322DB5080269}">
            <x14:dataBar minLength="0" maxLength="100" gradient="0">
              <x14:cfvo type="autoMin"/>
              <x14:cfvo type="autoMax"/>
              <x14:negativeFillColor rgb="FFFF0000"/>
              <x14:axisColor rgb="FF000000"/>
            </x14:dataBar>
          </x14:cfRule>
          <xm:sqref>N67:O68</xm:sqref>
        </x14:conditionalFormatting>
        <x14:conditionalFormatting xmlns:xm="http://schemas.microsoft.com/office/excel/2006/main">
          <x14:cfRule type="dataBar" id="{49942011-9816-4CD9-B909-7A74FD757376}">
            <x14:dataBar minLength="0" maxLength="100" gradient="0">
              <x14:cfvo type="autoMin"/>
              <x14:cfvo type="autoMax"/>
              <x14:negativeFillColor rgb="FFFF0000"/>
              <x14:axisColor rgb="FF000000"/>
            </x14:dataBar>
          </x14:cfRule>
          <xm:sqref>N69:O69</xm:sqref>
        </x14:conditionalFormatting>
        <x14:conditionalFormatting xmlns:xm="http://schemas.microsoft.com/office/excel/2006/main">
          <x14:cfRule type="dataBar" id="{CA41E25F-12DC-48F8-AA7E-5778934E205E}">
            <x14:dataBar minLength="0" maxLength="100" gradient="0">
              <x14:cfvo type="autoMin"/>
              <x14:cfvo type="autoMax"/>
              <x14:negativeFillColor rgb="FFFF0000"/>
              <x14:axisColor rgb="FF000000"/>
            </x14:dataBar>
          </x14:cfRule>
          <xm:sqref>N70:O70</xm:sqref>
        </x14:conditionalFormatting>
        <x14:conditionalFormatting xmlns:xm="http://schemas.microsoft.com/office/excel/2006/main">
          <x14:cfRule type="dataBar" id="{003738EE-D777-4643-BFB3-A81BBB8D055A}">
            <x14:dataBar minLength="0" maxLength="100" gradient="0">
              <x14:cfvo type="autoMin"/>
              <x14:cfvo type="autoMax"/>
              <x14:negativeFillColor rgb="FFFF0000"/>
              <x14:axisColor rgb="FF000000"/>
            </x14:dataBar>
          </x14:cfRule>
          <xm:sqref>N72:O90</xm:sqref>
        </x14:conditionalFormatting>
        <x14:conditionalFormatting xmlns:xm="http://schemas.microsoft.com/office/excel/2006/main">
          <x14:cfRule type="dataBar" id="{11A247E4-8193-4EFF-8153-7E4C26CB5FB5}">
            <x14:dataBar minLength="0" maxLength="100" gradient="0">
              <x14:cfvo type="autoMin"/>
              <x14:cfvo type="num">
                <xm:f>4</xm:f>
              </x14:cfvo>
              <x14:negativeFillColor rgb="FFFF0000"/>
              <x14:axisColor rgb="FF000000"/>
            </x14:dataBar>
          </x14:cfRule>
          <xm:sqref>N3:S3</xm:sqref>
        </x14:conditionalFormatting>
        <x14:conditionalFormatting xmlns:xm="http://schemas.microsoft.com/office/excel/2006/main">
          <x14:cfRule type="dataBar" id="{098227F2-29EF-47FC-B69B-B979CD3A9D84}">
            <x14:dataBar minLength="0" maxLength="100" gradient="0">
              <x14:cfvo type="autoMin"/>
              <x14:cfvo type="num">
                <xm:f>4</xm:f>
              </x14:cfvo>
              <x14:negativeFillColor rgb="FFFF0000"/>
              <x14:axisColor rgb="FF000000"/>
            </x14:dataBar>
          </x14:cfRule>
          <xm:sqref>N4:S5</xm:sqref>
        </x14:conditionalFormatting>
        <x14:conditionalFormatting xmlns:xm="http://schemas.microsoft.com/office/excel/2006/main">
          <x14:cfRule type="dataBar" id="{77AACC97-1CCC-4B0C-B065-46C715470B88}">
            <x14:dataBar minLength="0" maxLength="100" gradient="0">
              <x14:cfvo type="autoMin"/>
              <x14:cfvo type="num">
                <xm:f>4</xm:f>
              </x14:cfvo>
              <x14:negativeFillColor rgb="FFFF0000"/>
              <x14:axisColor rgb="FF000000"/>
            </x14:dataBar>
          </x14:cfRule>
          <xm:sqref>N6:S6</xm:sqref>
        </x14:conditionalFormatting>
        <x14:conditionalFormatting xmlns:xm="http://schemas.microsoft.com/office/excel/2006/main">
          <x14:cfRule type="dataBar" id="{749E49F8-B537-4179-91D5-CBF3D4886121}">
            <x14:dataBar minLength="0" maxLength="100" gradient="0">
              <x14:cfvo type="autoMin"/>
              <x14:cfvo type="num">
                <xm:f>4</xm:f>
              </x14:cfvo>
              <x14:negativeFillColor rgb="FFFF0000"/>
              <x14:axisColor rgb="FF000000"/>
            </x14:dataBar>
          </x14:cfRule>
          <xm:sqref>N7:S7</xm:sqref>
        </x14:conditionalFormatting>
        <x14:conditionalFormatting xmlns:xm="http://schemas.microsoft.com/office/excel/2006/main">
          <x14:cfRule type="dataBar" id="{7CBE5C74-6F3F-4C26-BE3A-3EAE518BAAC8}">
            <x14:dataBar minLength="0" maxLength="100" gradient="0">
              <x14:cfvo type="autoMin"/>
              <x14:cfvo type="num">
                <xm:f>4</xm:f>
              </x14:cfvo>
              <x14:negativeFillColor rgb="FFFF0000"/>
              <x14:axisColor rgb="FF000000"/>
            </x14:dataBar>
          </x14:cfRule>
          <xm:sqref>N8:S8</xm:sqref>
        </x14:conditionalFormatting>
        <x14:conditionalFormatting xmlns:xm="http://schemas.microsoft.com/office/excel/2006/main">
          <x14:cfRule type="dataBar" id="{4AB36D01-71F4-4158-B194-37D3FEF66478}">
            <x14:dataBar minLength="0" maxLength="100" gradient="0">
              <x14:cfvo type="autoMin"/>
              <x14:cfvo type="num">
                <xm:f>4</xm:f>
              </x14:cfvo>
              <x14:negativeFillColor rgb="FFFF0000"/>
              <x14:axisColor rgb="FF000000"/>
            </x14:dataBar>
          </x14:cfRule>
          <xm:sqref>N9:S9</xm:sqref>
        </x14:conditionalFormatting>
        <x14:conditionalFormatting xmlns:xm="http://schemas.microsoft.com/office/excel/2006/main">
          <x14:cfRule type="dataBar" id="{183BB53B-800B-472E-B5FB-8C408105EFEA}">
            <x14:dataBar minLength="0" maxLength="100" gradient="0">
              <x14:cfvo type="autoMin"/>
              <x14:cfvo type="num">
                <xm:f>4</xm:f>
              </x14:cfvo>
              <x14:negativeFillColor rgb="FFFF0000"/>
              <x14:axisColor rgb="FF000000"/>
            </x14:dataBar>
          </x14:cfRule>
          <xm:sqref>N10:S10</xm:sqref>
        </x14:conditionalFormatting>
        <x14:conditionalFormatting xmlns:xm="http://schemas.microsoft.com/office/excel/2006/main">
          <x14:cfRule type="dataBar" id="{F14AC64B-7DE5-41A7-BCEB-68D84FA827C4}">
            <x14:dataBar minLength="0" maxLength="100" gradient="0">
              <x14:cfvo type="autoMin"/>
              <x14:cfvo type="num">
                <xm:f>4</xm:f>
              </x14:cfvo>
              <x14:negativeFillColor rgb="FFFF0000"/>
              <x14:axisColor rgb="FF000000"/>
            </x14:dataBar>
          </x14:cfRule>
          <xm:sqref>N11:S11</xm:sqref>
        </x14:conditionalFormatting>
        <x14:conditionalFormatting xmlns:xm="http://schemas.microsoft.com/office/excel/2006/main">
          <x14:cfRule type="dataBar" id="{773CBF14-2DEA-488F-871A-1382E543D36B}">
            <x14:dataBar minLength="0" maxLength="100" gradient="0">
              <x14:cfvo type="autoMin"/>
              <x14:cfvo type="num">
                <xm:f>4</xm:f>
              </x14:cfvo>
              <x14:negativeFillColor rgb="FFFF0000"/>
              <x14:axisColor rgb="FF000000"/>
            </x14:dataBar>
          </x14:cfRule>
          <xm:sqref>N12:S12</xm:sqref>
        </x14:conditionalFormatting>
        <x14:conditionalFormatting xmlns:xm="http://schemas.microsoft.com/office/excel/2006/main">
          <x14:cfRule type="dataBar" id="{B0270D70-6A7B-477C-9953-625921F848B0}">
            <x14:dataBar minLength="0" maxLength="100" gradient="0">
              <x14:cfvo type="autoMin"/>
              <x14:cfvo type="num">
                <xm:f>4</xm:f>
              </x14:cfvo>
              <x14:negativeFillColor rgb="FFFF0000"/>
              <x14:axisColor rgb="FF000000"/>
            </x14:dataBar>
          </x14:cfRule>
          <xm:sqref>N13:S13</xm:sqref>
        </x14:conditionalFormatting>
        <x14:conditionalFormatting xmlns:xm="http://schemas.microsoft.com/office/excel/2006/main">
          <x14:cfRule type="dataBar" id="{58FA1A0B-515C-4240-8C93-AFC322B7231A}">
            <x14:dataBar minLength="0" maxLength="100" gradient="0">
              <x14:cfvo type="autoMin"/>
              <x14:cfvo type="num">
                <xm:f>4</xm:f>
              </x14:cfvo>
              <x14:negativeFillColor rgb="FFFF0000"/>
              <x14:axisColor rgb="FF000000"/>
            </x14:dataBar>
          </x14:cfRule>
          <xm:sqref>N14:S14</xm:sqref>
        </x14:conditionalFormatting>
        <x14:conditionalFormatting xmlns:xm="http://schemas.microsoft.com/office/excel/2006/main">
          <x14:cfRule type="dataBar" id="{F3D4A6A2-42A6-4144-A152-539DCB1C97FE}">
            <x14:dataBar minLength="0" maxLength="100" gradient="0">
              <x14:cfvo type="autoMin"/>
              <x14:cfvo type="num">
                <xm:f>4</xm:f>
              </x14:cfvo>
              <x14:negativeFillColor rgb="FFFF0000"/>
              <x14:axisColor rgb="FF000000"/>
            </x14:dataBar>
          </x14:cfRule>
          <xm:sqref>N15:S16</xm:sqref>
        </x14:conditionalFormatting>
        <x14:conditionalFormatting xmlns:xm="http://schemas.microsoft.com/office/excel/2006/main">
          <x14:cfRule type="dataBar" id="{A4DC2CE7-7B52-49D0-9047-E6C002813CA1}">
            <x14:dataBar minLength="0" maxLength="100" gradient="0">
              <x14:cfvo type="autoMin"/>
              <x14:cfvo type="num">
                <xm:f>4</xm:f>
              </x14:cfvo>
              <x14:negativeFillColor rgb="FFFF0000"/>
              <x14:axisColor rgb="FF000000"/>
            </x14:dataBar>
          </x14:cfRule>
          <xm:sqref>N18:S18</xm:sqref>
        </x14:conditionalFormatting>
        <x14:conditionalFormatting xmlns:xm="http://schemas.microsoft.com/office/excel/2006/main">
          <x14:cfRule type="dataBar" id="{D210F2AE-BF6B-4ED0-A28B-D31A2F774D82}">
            <x14:dataBar minLength="0" maxLength="100" gradient="0">
              <x14:cfvo type="autoMin"/>
              <x14:cfvo type="num">
                <xm:f>4</xm:f>
              </x14:cfvo>
              <x14:negativeFillColor rgb="FFFF0000"/>
              <x14:axisColor rgb="FF000000"/>
            </x14:dataBar>
          </x14:cfRule>
          <xm:sqref>N19:S20</xm:sqref>
        </x14:conditionalFormatting>
        <x14:conditionalFormatting xmlns:xm="http://schemas.microsoft.com/office/excel/2006/main">
          <x14:cfRule type="dataBar" id="{430FF404-6E6B-4F5B-B531-18A00EA629AC}">
            <x14:dataBar minLength="0" maxLength="100" gradient="0">
              <x14:cfvo type="autoMin"/>
              <x14:cfvo type="num">
                <xm:f>4</xm:f>
              </x14:cfvo>
              <x14:negativeFillColor rgb="FFFF0000"/>
              <x14:axisColor rgb="FF000000"/>
            </x14:dataBar>
          </x14:cfRule>
          <xm:sqref>N21:S21</xm:sqref>
        </x14:conditionalFormatting>
        <x14:conditionalFormatting xmlns:xm="http://schemas.microsoft.com/office/excel/2006/main">
          <x14:cfRule type="dataBar" id="{3D60EF11-5011-4E47-8C5D-BDDD19E0C8BC}">
            <x14:dataBar minLength="0" maxLength="100" gradient="0">
              <x14:cfvo type="autoMin"/>
              <x14:cfvo type="num">
                <xm:f>4</xm:f>
              </x14:cfvo>
              <x14:negativeFillColor rgb="FFFF0000"/>
              <x14:axisColor rgb="FF000000"/>
            </x14:dataBar>
          </x14:cfRule>
          <xm:sqref>N25:S25</xm:sqref>
        </x14:conditionalFormatting>
        <x14:conditionalFormatting xmlns:xm="http://schemas.microsoft.com/office/excel/2006/main">
          <x14:cfRule type="dataBar" id="{6A889C20-06E3-4377-81C1-1A9D26BCE6E6}">
            <x14:dataBar minLength="0" maxLength="100" gradient="0">
              <x14:cfvo type="autoMin"/>
              <x14:cfvo type="num">
                <xm:f>4</xm:f>
              </x14:cfvo>
              <x14:negativeFillColor rgb="FFFF0000"/>
              <x14:axisColor rgb="FF000000"/>
            </x14:dataBar>
          </x14:cfRule>
          <xm:sqref>N28:S28 N33:S33 N39:S39 N44:S44</xm:sqref>
        </x14:conditionalFormatting>
        <x14:conditionalFormatting xmlns:xm="http://schemas.microsoft.com/office/excel/2006/main">
          <x14:cfRule type="dataBar" id="{EA188CB4-272F-4004-9488-4E2F9C4EBFF9}">
            <x14:dataBar minLength="0" maxLength="100" gradient="0">
              <x14:cfvo type="autoMin"/>
              <x14:cfvo type="num">
                <xm:f>4</xm:f>
              </x14:cfvo>
              <x14:negativeFillColor rgb="FFFF0000"/>
              <x14:axisColor rgb="FF000000"/>
            </x14:dataBar>
          </x14:cfRule>
          <xm:sqref>N29:S30</xm:sqref>
        </x14:conditionalFormatting>
        <x14:conditionalFormatting xmlns:xm="http://schemas.microsoft.com/office/excel/2006/main">
          <x14:cfRule type="dataBar" id="{7F2E9E5F-9374-4787-BDB0-DB55407BBA3A}">
            <x14:dataBar minLength="0" maxLength="100" gradient="0">
              <x14:cfvo type="autoMin"/>
              <x14:cfvo type="num">
                <xm:f>4</xm:f>
              </x14:cfvo>
              <x14:negativeFillColor rgb="FFFF0000"/>
              <x14:axisColor rgb="FF000000"/>
            </x14:dataBar>
          </x14:cfRule>
          <xm:sqref>N31:S32 N26:S27 N23:S24</xm:sqref>
        </x14:conditionalFormatting>
        <x14:conditionalFormatting xmlns:xm="http://schemas.microsoft.com/office/excel/2006/main">
          <x14:cfRule type="dataBar" id="{4C533ADA-9FA9-40D7-AECE-3753F6DF96FE}">
            <x14:dataBar minLength="0" maxLength="100" gradient="0">
              <x14:cfvo type="autoMin"/>
              <x14:cfvo type="num">
                <xm:f>4</xm:f>
              </x14:cfvo>
              <x14:negativeFillColor rgb="FFFF0000"/>
              <x14:axisColor rgb="FF000000"/>
            </x14:dataBar>
          </x14:cfRule>
          <xm:sqref>N36:S36</xm:sqref>
        </x14:conditionalFormatting>
        <x14:conditionalFormatting xmlns:xm="http://schemas.microsoft.com/office/excel/2006/main">
          <x14:cfRule type="dataBar" id="{3560060C-C296-4802-8803-B599D21A6325}">
            <x14:dataBar minLength="0" maxLength="100" gradient="0">
              <x14:cfvo type="autoMin"/>
              <x14:cfvo type="num">
                <xm:f>4</xm:f>
              </x14:cfvo>
              <x14:negativeFillColor rgb="FFFF0000"/>
              <x14:axisColor rgb="FF000000"/>
            </x14:dataBar>
          </x14:cfRule>
          <xm:sqref>N40:S41</xm:sqref>
        </x14:conditionalFormatting>
        <x14:conditionalFormatting xmlns:xm="http://schemas.microsoft.com/office/excel/2006/main">
          <x14:cfRule type="dataBar" id="{4DC3E28D-4833-47F2-9D1A-4E7344575146}">
            <x14:dataBar minLength="0" maxLength="100" gradient="0">
              <x14:cfvo type="autoMin"/>
              <x14:cfvo type="num">
                <xm:f>4</xm:f>
              </x14:cfvo>
              <x14:negativeFillColor rgb="FFFF0000"/>
              <x14:axisColor rgb="FF000000"/>
            </x14:dataBar>
          </x14:cfRule>
          <xm:sqref>N42:S43 N37:S38 N34:S35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13" zoomScale="87" zoomScaleNormal="87" workbookViewId="0">
      <selection activeCell="G27" sqref="G27:H27"/>
    </sheetView>
  </sheetViews>
  <sheetFormatPr defaultRowHeight="14.4"/>
  <cols>
    <col min="1" max="1" width="50.6640625" style="6" customWidth="1"/>
    <col min="2" max="29" width="20.6640625" style="6" customWidth="1"/>
    <col min="30" max="32" width="20.6640625" customWidth="1"/>
  </cols>
  <sheetData>
    <row r="1" spans="1:19" ht="30" customHeight="1">
      <c r="A1" s="1122" t="s">
        <v>795</v>
      </c>
      <c r="B1" s="1123"/>
      <c r="C1" s="1123"/>
      <c r="D1" s="1123"/>
      <c r="E1" s="1123"/>
      <c r="F1" s="1123"/>
      <c r="G1" s="1123"/>
      <c r="H1" s="1123"/>
      <c r="I1" s="1123"/>
      <c r="J1" s="1123"/>
      <c r="K1" s="1123"/>
      <c r="L1" s="1123"/>
      <c r="M1" s="1123"/>
      <c r="N1" s="1123"/>
      <c r="O1" s="1123"/>
      <c r="P1" s="1123"/>
      <c r="Q1" s="1123"/>
      <c r="R1" s="1123"/>
      <c r="S1" s="1123"/>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878</v>
      </c>
      <c r="M2" s="1088" t="s">
        <v>104</v>
      </c>
      <c r="N2" s="1088"/>
      <c r="O2" s="1088"/>
      <c r="P2" s="1088"/>
      <c r="Q2" s="1088"/>
      <c r="R2" s="1088"/>
      <c r="S2" s="1088"/>
    </row>
    <row r="3" spans="1:19">
      <c r="A3" s="212" t="s">
        <v>879</v>
      </c>
      <c r="B3" s="117" t="s">
        <v>880</v>
      </c>
      <c r="C3" s="117" t="s">
        <v>880</v>
      </c>
      <c r="D3" s="213">
        <v>0</v>
      </c>
      <c r="E3" s="213">
        <v>0.01</v>
      </c>
      <c r="F3" s="213">
        <v>0.01</v>
      </c>
      <c r="G3" s="213">
        <v>0</v>
      </c>
      <c r="H3" s="213">
        <v>0</v>
      </c>
      <c r="I3" s="213">
        <v>0</v>
      </c>
      <c r="J3" s="213">
        <v>0.77</v>
      </c>
      <c r="K3" s="213">
        <v>0.12</v>
      </c>
      <c r="L3" s="213">
        <v>0.09</v>
      </c>
      <c r="M3" s="1124" t="s">
        <v>881</v>
      </c>
      <c r="N3" s="1124"/>
      <c r="O3" s="1124"/>
      <c r="P3" s="1124"/>
      <c r="Q3" s="1124"/>
      <c r="R3" s="1124"/>
      <c r="S3" s="1124"/>
    </row>
    <row r="4" spans="1:19">
      <c r="A4" s="212" t="s">
        <v>882</v>
      </c>
      <c r="B4" s="117" t="s">
        <v>880</v>
      </c>
      <c r="C4" s="117" t="s">
        <v>880</v>
      </c>
      <c r="D4" s="213">
        <v>0</v>
      </c>
      <c r="E4" s="213">
        <v>0</v>
      </c>
      <c r="F4" s="213">
        <v>0</v>
      </c>
      <c r="G4" s="213">
        <v>0</v>
      </c>
      <c r="H4" s="213">
        <v>0</v>
      </c>
      <c r="I4" s="213">
        <v>0</v>
      </c>
      <c r="J4" s="213">
        <v>0.5</v>
      </c>
      <c r="K4" s="213">
        <v>0.5</v>
      </c>
      <c r="L4" s="213">
        <v>0</v>
      </c>
      <c r="M4" s="1121" t="s">
        <v>43</v>
      </c>
      <c r="N4" s="1121"/>
      <c r="O4" s="1121"/>
      <c r="P4" s="1121"/>
      <c r="Q4" s="1121"/>
      <c r="R4" s="1121"/>
      <c r="S4" s="1121"/>
    </row>
    <row r="5" spans="1:19">
      <c r="A5" s="212" t="s">
        <v>336</v>
      </c>
      <c r="B5" s="117" t="s">
        <v>880</v>
      </c>
      <c r="C5" s="117" t="s">
        <v>880</v>
      </c>
      <c r="D5" s="213">
        <v>0</v>
      </c>
      <c r="E5" s="213">
        <v>0.5</v>
      </c>
      <c r="F5" s="213">
        <v>0</v>
      </c>
      <c r="G5" s="213">
        <v>0</v>
      </c>
      <c r="H5" s="213">
        <v>0</v>
      </c>
      <c r="I5" s="213">
        <v>0</v>
      </c>
      <c r="J5" s="213">
        <v>0.5</v>
      </c>
      <c r="K5" s="213">
        <v>0</v>
      </c>
      <c r="L5" s="213">
        <v>0</v>
      </c>
      <c r="M5" s="1121" t="s">
        <v>43</v>
      </c>
      <c r="N5" s="1121"/>
      <c r="O5" s="1121"/>
      <c r="P5" s="1121"/>
      <c r="Q5" s="1121"/>
      <c r="R5" s="1121"/>
      <c r="S5" s="1121"/>
    </row>
    <row r="6" spans="1:19">
      <c r="A6" s="212" t="s">
        <v>241</v>
      </c>
      <c r="B6" s="117" t="s">
        <v>880</v>
      </c>
      <c r="C6" s="117" t="s">
        <v>880</v>
      </c>
      <c r="D6" s="213">
        <v>0</v>
      </c>
      <c r="E6" s="213">
        <v>0.5</v>
      </c>
      <c r="F6" s="213">
        <v>0</v>
      </c>
      <c r="G6" s="213">
        <v>0</v>
      </c>
      <c r="H6" s="213">
        <v>0</v>
      </c>
      <c r="I6" s="213">
        <v>0</v>
      </c>
      <c r="J6" s="213">
        <v>0.5</v>
      </c>
      <c r="K6" s="213">
        <v>0</v>
      </c>
      <c r="L6" s="213">
        <v>0</v>
      </c>
      <c r="M6" s="1121" t="s">
        <v>43</v>
      </c>
      <c r="N6" s="1121"/>
      <c r="O6" s="1121"/>
      <c r="P6" s="1121"/>
      <c r="Q6" s="1121"/>
      <c r="R6" s="1121"/>
      <c r="S6" s="1121"/>
    </row>
    <row r="7" spans="1:19">
      <c r="A7" s="212" t="s">
        <v>239</v>
      </c>
      <c r="B7" s="117" t="s">
        <v>880</v>
      </c>
      <c r="C7" s="117" t="s">
        <v>880</v>
      </c>
      <c r="D7" s="213">
        <v>0</v>
      </c>
      <c r="E7" s="213">
        <v>0</v>
      </c>
      <c r="F7" s="213">
        <v>1</v>
      </c>
      <c r="G7" s="213">
        <v>0</v>
      </c>
      <c r="H7" s="213">
        <v>0</v>
      </c>
      <c r="I7" s="213">
        <v>0</v>
      </c>
      <c r="J7" s="213">
        <v>0</v>
      </c>
      <c r="K7" s="213">
        <v>0</v>
      </c>
      <c r="L7" s="213">
        <v>0</v>
      </c>
      <c r="M7" s="1121" t="s">
        <v>43</v>
      </c>
      <c r="N7" s="1121"/>
      <c r="O7" s="1121"/>
      <c r="P7" s="1121"/>
      <c r="Q7" s="1121"/>
      <c r="R7" s="1121"/>
      <c r="S7" s="1121"/>
    </row>
    <row r="8" spans="1:19">
      <c r="A8" s="212" t="s">
        <v>240</v>
      </c>
      <c r="B8" s="117" t="s">
        <v>880</v>
      </c>
      <c r="C8" s="117" t="s">
        <v>880</v>
      </c>
      <c r="D8" s="213">
        <v>0</v>
      </c>
      <c r="E8" s="213">
        <f>1/3</f>
        <v>0.33333333333333331</v>
      </c>
      <c r="F8" s="213">
        <f>1/3</f>
        <v>0.33333333333333331</v>
      </c>
      <c r="G8" s="213">
        <v>0</v>
      </c>
      <c r="H8" s="213">
        <v>0</v>
      </c>
      <c r="I8" s="213">
        <v>0</v>
      </c>
      <c r="J8" s="213">
        <f>1/3</f>
        <v>0.33333333333333331</v>
      </c>
      <c r="K8" s="213">
        <v>0</v>
      </c>
      <c r="L8" s="213">
        <v>0</v>
      </c>
      <c r="M8" s="1121" t="s">
        <v>43</v>
      </c>
      <c r="N8" s="1121"/>
      <c r="O8" s="1121"/>
      <c r="P8" s="1121"/>
      <c r="Q8" s="1121"/>
      <c r="R8" s="1121"/>
      <c r="S8" s="1121"/>
    </row>
    <row r="9" spans="1:19">
      <c r="A9" s="212" t="s">
        <v>191</v>
      </c>
      <c r="B9" s="117" t="s">
        <v>880</v>
      </c>
      <c r="C9" s="117" t="s">
        <v>880</v>
      </c>
      <c r="D9" s="213">
        <v>0</v>
      </c>
      <c r="E9" s="213">
        <v>0.01</v>
      </c>
      <c r="F9" s="213">
        <v>0.01</v>
      </c>
      <c r="G9" s="213">
        <v>0</v>
      </c>
      <c r="H9" s="213">
        <v>0</v>
      </c>
      <c r="I9" s="213">
        <v>0</v>
      </c>
      <c r="J9" s="213">
        <v>0.77</v>
      </c>
      <c r="K9" s="213">
        <v>0.12</v>
      </c>
      <c r="L9" s="213">
        <v>0.09</v>
      </c>
      <c r="M9" s="1124" t="s">
        <v>881</v>
      </c>
      <c r="N9" s="1124"/>
      <c r="O9" s="1124"/>
      <c r="P9" s="1124"/>
      <c r="Q9" s="1124"/>
      <c r="R9" s="1124"/>
      <c r="S9" s="1124"/>
    </row>
    <row r="10" spans="1:19">
      <c r="A10" s="212" t="s">
        <v>355</v>
      </c>
      <c r="B10" s="117" t="s">
        <v>880</v>
      </c>
      <c r="C10" s="117" t="s">
        <v>880</v>
      </c>
      <c r="D10" s="213">
        <v>0</v>
      </c>
      <c r="E10" s="213">
        <v>0</v>
      </c>
      <c r="F10" s="213">
        <v>0.2</v>
      </c>
      <c r="G10" s="213">
        <v>0</v>
      </c>
      <c r="H10" s="213">
        <v>0</v>
      </c>
      <c r="I10" s="213">
        <v>0</v>
      </c>
      <c r="J10" s="213">
        <v>0.25</v>
      </c>
      <c r="K10" s="213">
        <v>0.5</v>
      </c>
      <c r="L10" s="213">
        <v>0.05</v>
      </c>
      <c r="M10" s="1124" t="s">
        <v>883</v>
      </c>
      <c r="N10" s="1124"/>
      <c r="O10" s="1124"/>
      <c r="P10" s="1124"/>
      <c r="Q10" s="1124"/>
      <c r="R10" s="1124"/>
      <c r="S10" s="1124"/>
    </row>
    <row r="11" spans="1:19">
      <c r="A11" s="212" t="s">
        <v>345</v>
      </c>
      <c r="B11" s="117" t="s">
        <v>880</v>
      </c>
      <c r="C11" s="117" t="s">
        <v>880</v>
      </c>
      <c r="D11" s="213">
        <v>0</v>
      </c>
      <c r="E11" s="213">
        <v>0</v>
      </c>
      <c r="F11" s="213">
        <v>0.25</v>
      </c>
      <c r="G11" s="213">
        <v>0</v>
      </c>
      <c r="H11" s="213">
        <v>0</v>
      </c>
      <c r="I11" s="213">
        <v>0</v>
      </c>
      <c r="J11" s="213">
        <v>0.25</v>
      </c>
      <c r="K11" s="213">
        <v>0.25</v>
      </c>
      <c r="L11" s="213">
        <v>0.25</v>
      </c>
      <c r="M11" s="1121" t="s">
        <v>884</v>
      </c>
      <c r="N11" s="1121"/>
      <c r="O11" s="1121"/>
      <c r="P11" s="1121"/>
      <c r="Q11" s="1121"/>
      <c r="R11" s="1121"/>
      <c r="S11" s="1121"/>
    </row>
    <row r="12" spans="1:19">
      <c r="A12" s="212" t="s">
        <v>885</v>
      </c>
      <c r="B12" s="117" t="s">
        <v>880</v>
      </c>
      <c r="C12" s="117" t="s">
        <v>880</v>
      </c>
      <c r="D12" s="213">
        <v>0</v>
      </c>
      <c r="E12" s="213">
        <v>0</v>
      </c>
      <c r="F12" s="213">
        <f>1/3</f>
        <v>0.33333333333333331</v>
      </c>
      <c r="G12" s="213">
        <v>0</v>
      </c>
      <c r="H12" s="213">
        <v>0</v>
      </c>
      <c r="I12" s="213">
        <v>0</v>
      </c>
      <c r="J12" s="213">
        <f>1/3</f>
        <v>0.33333333333333331</v>
      </c>
      <c r="K12" s="213">
        <f>1/3</f>
        <v>0.33333333333333331</v>
      </c>
      <c r="L12" s="213">
        <v>0</v>
      </c>
      <c r="M12" s="1121" t="s">
        <v>43</v>
      </c>
      <c r="N12" s="1121"/>
      <c r="O12" s="1121"/>
      <c r="P12" s="1121"/>
      <c r="Q12" s="1121"/>
      <c r="R12" s="1121"/>
      <c r="S12" s="1121"/>
    </row>
    <row r="13" spans="1:19">
      <c r="A13" s="212" t="s">
        <v>347</v>
      </c>
      <c r="B13" s="117" t="s">
        <v>880</v>
      </c>
      <c r="C13" s="117" t="s">
        <v>880</v>
      </c>
      <c r="D13" s="213">
        <v>0</v>
      </c>
      <c r="E13" s="213">
        <v>0</v>
      </c>
      <c r="F13" s="213">
        <f>1/3</f>
        <v>0.33333333333333331</v>
      </c>
      <c r="G13" s="213">
        <v>0</v>
      </c>
      <c r="H13" s="213">
        <v>0</v>
      </c>
      <c r="I13" s="213">
        <v>0</v>
      </c>
      <c r="J13" s="213">
        <f>1/3</f>
        <v>0.33333333333333331</v>
      </c>
      <c r="K13" s="213">
        <f>1/3</f>
        <v>0.33333333333333331</v>
      </c>
      <c r="L13" s="213">
        <v>0</v>
      </c>
      <c r="M13" s="1121" t="s">
        <v>43</v>
      </c>
      <c r="N13" s="1121"/>
      <c r="O13" s="1121"/>
      <c r="P13" s="1121"/>
      <c r="Q13" s="1121"/>
      <c r="R13" s="1121"/>
      <c r="S13" s="1121"/>
    </row>
    <row r="14" spans="1:19">
      <c r="A14" s="212" t="s">
        <v>886</v>
      </c>
      <c r="B14" s="117" t="s">
        <v>880</v>
      </c>
      <c r="C14" s="117" t="s">
        <v>880</v>
      </c>
      <c r="D14" s="213">
        <v>0</v>
      </c>
      <c r="E14" s="213">
        <v>0.02</v>
      </c>
      <c r="F14" s="213">
        <v>0.92</v>
      </c>
      <c r="G14" s="213">
        <v>0</v>
      </c>
      <c r="H14" s="213">
        <v>0</v>
      </c>
      <c r="I14" s="213">
        <v>0</v>
      </c>
      <c r="J14" s="213">
        <v>0.05</v>
      </c>
      <c r="K14" s="213">
        <v>0.01</v>
      </c>
      <c r="L14" s="213">
        <v>0</v>
      </c>
      <c r="M14" s="1121" t="s">
        <v>887</v>
      </c>
      <c r="N14" s="1121"/>
      <c r="O14" s="1121"/>
      <c r="P14" s="1121"/>
      <c r="Q14" s="1121"/>
      <c r="R14" s="1121"/>
      <c r="S14" s="1121"/>
    </row>
    <row r="15" spans="1:19">
      <c r="A15" s="212" t="s">
        <v>888</v>
      </c>
      <c r="B15" s="117" t="s">
        <v>880</v>
      </c>
      <c r="C15" s="117" t="s">
        <v>880</v>
      </c>
      <c r="D15" s="213">
        <v>0</v>
      </c>
      <c r="E15" s="213">
        <v>0</v>
      </c>
      <c r="F15" s="213">
        <f>1/3</f>
        <v>0.33333333333333331</v>
      </c>
      <c r="G15" s="213">
        <v>0</v>
      </c>
      <c r="H15" s="213">
        <v>0</v>
      </c>
      <c r="I15" s="213">
        <v>0</v>
      </c>
      <c r="J15" s="213">
        <f>1/3</f>
        <v>0.33333333333333331</v>
      </c>
      <c r="K15" s="213">
        <f>1/3</f>
        <v>0.33333333333333331</v>
      </c>
      <c r="L15" s="213">
        <v>0</v>
      </c>
      <c r="M15" s="1121" t="s">
        <v>43</v>
      </c>
      <c r="N15" s="1121"/>
      <c r="O15" s="1121"/>
      <c r="P15" s="1121"/>
      <c r="Q15" s="1121"/>
      <c r="R15" s="1121"/>
      <c r="S15" s="1121"/>
    </row>
    <row r="16" spans="1:19">
      <c r="A16" s="212" t="s">
        <v>238</v>
      </c>
      <c r="B16" s="117" t="s">
        <v>880</v>
      </c>
      <c r="C16" s="117" t="s">
        <v>880</v>
      </c>
      <c r="D16" s="213">
        <v>0</v>
      </c>
      <c r="E16" s="213">
        <v>0</v>
      </c>
      <c r="F16" s="213">
        <f>1/3</f>
        <v>0.33333333333333331</v>
      </c>
      <c r="G16" s="213">
        <v>0</v>
      </c>
      <c r="H16" s="213">
        <v>0</v>
      </c>
      <c r="I16" s="213">
        <v>0</v>
      </c>
      <c r="J16" s="213">
        <f>1/3</f>
        <v>0.33333333333333331</v>
      </c>
      <c r="K16" s="213">
        <f>1/3</f>
        <v>0.33333333333333331</v>
      </c>
      <c r="L16" s="213">
        <v>0</v>
      </c>
      <c r="M16" s="1121" t="s">
        <v>43</v>
      </c>
      <c r="N16" s="1121"/>
      <c r="O16" s="1121"/>
      <c r="P16" s="1121"/>
      <c r="Q16" s="1121"/>
      <c r="R16" s="1121"/>
      <c r="S16" s="1121"/>
    </row>
    <row r="17" spans="1:19">
      <c r="A17" s="212" t="s">
        <v>889</v>
      </c>
      <c r="B17" s="117" t="s">
        <v>880</v>
      </c>
      <c r="C17" s="117" t="s">
        <v>880</v>
      </c>
      <c r="D17" s="213">
        <v>0</v>
      </c>
      <c r="E17" s="213">
        <v>0</v>
      </c>
      <c r="F17" s="213">
        <v>0</v>
      </c>
      <c r="G17" s="213">
        <v>0</v>
      </c>
      <c r="H17" s="213">
        <v>0</v>
      </c>
      <c r="I17" s="213">
        <v>1</v>
      </c>
      <c r="J17" s="213">
        <v>0</v>
      </c>
      <c r="K17" s="213">
        <v>0</v>
      </c>
      <c r="L17" s="213">
        <v>0</v>
      </c>
      <c r="M17" s="1121" t="s">
        <v>43</v>
      </c>
      <c r="N17" s="1121"/>
      <c r="O17" s="1121"/>
      <c r="P17" s="1121"/>
      <c r="Q17" s="1121"/>
      <c r="R17" s="1121"/>
      <c r="S17" s="1121"/>
    </row>
    <row r="19" spans="1:19" s="6" customFormat="1" ht="30" customHeight="1">
      <c r="A19" s="1122" t="s">
        <v>763</v>
      </c>
      <c r="B19" s="1123"/>
      <c r="C19" s="1123"/>
      <c r="D19" s="1123"/>
      <c r="E19" s="1123"/>
      <c r="F19" s="1123"/>
      <c r="G19" s="1123"/>
      <c r="H19" s="1123"/>
      <c r="I19" s="1123"/>
      <c r="J19" s="1123"/>
      <c r="K19" s="1123"/>
      <c r="L19" s="1123"/>
      <c r="M19" s="1123"/>
      <c r="N19" s="1123"/>
      <c r="O19" s="1123"/>
      <c r="P19" s="1123"/>
      <c r="Q19" s="1123"/>
      <c r="R19" s="1123"/>
      <c r="S19" s="1123"/>
    </row>
    <row r="20" spans="1:19" ht="30" customHeight="1">
      <c r="A20" s="140" t="s">
        <v>100</v>
      </c>
      <c r="B20" s="140" t="s">
        <v>101</v>
      </c>
      <c r="C20" s="140" t="s">
        <v>131</v>
      </c>
      <c r="D20" s="140" t="s">
        <v>890</v>
      </c>
      <c r="E20" s="1088" t="s">
        <v>891</v>
      </c>
      <c r="F20" s="1088"/>
      <c r="G20" s="1097" t="s">
        <v>104</v>
      </c>
      <c r="H20" s="1104"/>
      <c r="I20" s="1088" t="s">
        <v>892</v>
      </c>
      <c r="J20" s="1088"/>
      <c r="K20" s="1088" t="s">
        <v>123</v>
      </c>
      <c r="L20" s="1088"/>
      <c r="M20" s="1088"/>
      <c r="N20" s="1088"/>
      <c r="O20" s="1088"/>
      <c r="P20" s="1088"/>
      <c r="Q20" s="1088"/>
      <c r="R20" s="1088"/>
      <c r="S20" s="1088"/>
    </row>
    <row r="21" spans="1:19">
      <c r="A21" s="212" t="s">
        <v>879</v>
      </c>
      <c r="B21" s="310">
        <v>2019</v>
      </c>
      <c r="C21" s="117" t="s">
        <v>180</v>
      </c>
      <c r="D21" s="183">
        <v>29.57</v>
      </c>
      <c r="E21" s="1119">
        <f>D21/$D$36</f>
        <v>7.2653562653562653E-2</v>
      </c>
      <c r="F21" s="1119"/>
      <c r="G21" s="1118" t="s">
        <v>893</v>
      </c>
      <c r="H21" s="1118"/>
      <c r="I21" s="1090"/>
      <c r="J21" s="1090"/>
      <c r="K21" s="1090"/>
      <c r="L21" s="1090"/>
      <c r="M21" s="1090"/>
      <c r="N21" s="1090"/>
      <c r="O21" s="1090"/>
      <c r="P21" s="1090"/>
      <c r="Q21" s="1090"/>
      <c r="R21" s="1090"/>
      <c r="S21" s="1090"/>
    </row>
    <row r="22" spans="1:19">
      <c r="A22" s="212" t="s">
        <v>882</v>
      </c>
      <c r="B22" s="310">
        <v>2017</v>
      </c>
      <c r="C22" s="117" t="s">
        <v>180</v>
      </c>
      <c r="D22" s="183">
        <v>1.63</v>
      </c>
      <c r="E22" s="1119">
        <f t="shared" ref="E22:E35" si="0">D22/$D$36</f>
        <v>4.004914004914005E-3</v>
      </c>
      <c r="F22" s="1119"/>
      <c r="G22" s="1118" t="s">
        <v>43</v>
      </c>
      <c r="H22" s="1118"/>
      <c r="I22" s="1090"/>
      <c r="J22" s="1090"/>
      <c r="K22" s="1090"/>
      <c r="L22" s="1090"/>
      <c r="M22" s="1090"/>
      <c r="N22" s="1090"/>
      <c r="O22" s="1090"/>
      <c r="P22" s="1090"/>
      <c r="Q22" s="1090"/>
      <c r="R22" s="1090"/>
      <c r="S22" s="1090"/>
    </row>
    <row r="23" spans="1:19">
      <c r="A23" s="212" t="s">
        <v>336</v>
      </c>
      <c r="B23" s="310">
        <v>2017</v>
      </c>
      <c r="C23" s="117" t="s">
        <v>180</v>
      </c>
      <c r="D23" s="183">
        <v>5.7</v>
      </c>
      <c r="E23" s="1119">
        <f t="shared" si="0"/>
        <v>1.4004914004914005E-2</v>
      </c>
      <c r="F23" s="1119"/>
      <c r="G23" s="1118" t="s">
        <v>43</v>
      </c>
      <c r="H23" s="1118"/>
      <c r="I23" s="1090"/>
      <c r="J23" s="1090"/>
      <c r="K23" s="1090"/>
      <c r="L23" s="1090"/>
      <c r="M23" s="1090"/>
      <c r="N23" s="1090"/>
      <c r="O23" s="1090"/>
      <c r="P23" s="1090"/>
      <c r="Q23" s="1090"/>
      <c r="R23" s="1090"/>
      <c r="S23" s="1090"/>
    </row>
    <row r="24" spans="1:19">
      <c r="A24" s="212" t="s">
        <v>241</v>
      </c>
      <c r="B24" s="310">
        <v>2017</v>
      </c>
      <c r="C24" s="117" t="s">
        <v>180</v>
      </c>
      <c r="D24" s="183">
        <v>1.22</v>
      </c>
      <c r="E24" s="1119">
        <f t="shared" si="0"/>
        <v>2.9975429975429976E-3</v>
      </c>
      <c r="F24" s="1119"/>
      <c r="G24" s="1118" t="s">
        <v>43</v>
      </c>
      <c r="H24" s="1118"/>
      <c r="I24" s="1090"/>
      <c r="J24" s="1090"/>
      <c r="K24" s="1090"/>
      <c r="L24" s="1090"/>
      <c r="M24" s="1090"/>
      <c r="N24" s="1090"/>
      <c r="O24" s="1090"/>
      <c r="P24" s="1090"/>
      <c r="Q24" s="1090"/>
      <c r="R24" s="1090"/>
      <c r="S24" s="1090"/>
    </row>
    <row r="25" spans="1:19">
      <c r="A25" s="212" t="s">
        <v>239</v>
      </c>
      <c r="B25" s="310">
        <v>2017</v>
      </c>
      <c r="C25" s="117" t="s">
        <v>180</v>
      </c>
      <c r="D25" s="183">
        <v>0.41</v>
      </c>
      <c r="E25" s="1119">
        <f t="shared" si="0"/>
        <v>1.0073710073710074E-3</v>
      </c>
      <c r="F25" s="1119"/>
      <c r="G25" s="1118" t="s">
        <v>43</v>
      </c>
      <c r="H25" s="1118"/>
      <c r="I25" s="1090"/>
      <c r="J25" s="1090"/>
      <c r="K25" s="1090"/>
      <c r="L25" s="1090"/>
      <c r="M25" s="1090"/>
      <c r="N25" s="1090"/>
      <c r="O25" s="1090"/>
      <c r="P25" s="1090"/>
      <c r="Q25" s="1090"/>
      <c r="R25" s="1090"/>
      <c r="S25" s="1090"/>
    </row>
    <row r="26" spans="1:19">
      <c r="A26" s="212" t="s">
        <v>240</v>
      </c>
      <c r="B26" s="310">
        <v>2017</v>
      </c>
      <c r="C26" s="117" t="s">
        <v>180</v>
      </c>
      <c r="D26" s="183">
        <v>10.58</v>
      </c>
      <c r="E26" s="1119">
        <f t="shared" si="0"/>
        <v>2.5995085995085994E-2</v>
      </c>
      <c r="F26" s="1119"/>
      <c r="G26" s="1118" t="s">
        <v>43</v>
      </c>
      <c r="H26" s="1118"/>
      <c r="I26" s="1090"/>
      <c r="J26" s="1090"/>
      <c r="K26" s="1090"/>
      <c r="L26" s="1090"/>
      <c r="M26" s="1090"/>
      <c r="N26" s="1090"/>
      <c r="O26" s="1090"/>
      <c r="P26" s="1090"/>
      <c r="Q26" s="1090"/>
      <c r="R26" s="1090"/>
      <c r="S26" s="1090"/>
    </row>
    <row r="27" spans="1:19">
      <c r="A27" s="212" t="s">
        <v>191</v>
      </c>
      <c r="B27" s="310">
        <v>2019</v>
      </c>
      <c r="C27" s="117" t="s">
        <v>180</v>
      </c>
      <c r="D27" s="183">
        <v>28.97</v>
      </c>
      <c r="E27" s="1119">
        <f t="shared" si="0"/>
        <v>7.1179361179361175E-2</v>
      </c>
      <c r="F27" s="1119"/>
      <c r="G27" s="1118" t="s">
        <v>893</v>
      </c>
      <c r="H27" s="1118"/>
      <c r="I27" s="1090"/>
      <c r="J27" s="1090"/>
      <c r="K27" s="1090"/>
      <c r="L27" s="1090"/>
      <c r="M27" s="1090"/>
      <c r="N27" s="1090"/>
      <c r="O27" s="1090"/>
      <c r="P27" s="1090"/>
      <c r="Q27" s="1090"/>
      <c r="R27" s="1090"/>
      <c r="S27" s="1090"/>
    </row>
    <row r="28" spans="1:19">
      <c r="A28" s="212" t="s">
        <v>355</v>
      </c>
      <c r="B28" s="310">
        <v>2019</v>
      </c>
      <c r="C28" s="117" t="s">
        <v>180</v>
      </c>
      <c r="D28" s="183">
        <v>108.41</v>
      </c>
      <c r="E28" s="1119">
        <f t="shared" si="0"/>
        <v>0.26636363636363636</v>
      </c>
      <c r="F28" s="1119"/>
      <c r="G28" s="1118" t="s">
        <v>893</v>
      </c>
      <c r="H28" s="1118"/>
      <c r="I28" s="1090"/>
      <c r="J28" s="1090"/>
      <c r="K28" s="1090"/>
      <c r="L28" s="1090"/>
      <c r="M28" s="1090"/>
      <c r="N28" s="1090"/>
      <c r="O28" s="1090"/>
      <c r="P28" s="1090"/>
      <c r="Q28" s="1090"/>
      <c r="R28" s="1090"/>
      <c r="S28" s="1090"/>
    </row>
    <row r="29" spans="1:19">
      <c r="A29" s="212" t="s">
        <v>345</v>
      </c>
      <c r="B29" s="117">
        <v>2017</v>
      </c>
      <c r="C29" s="117" t="s">
        <v>180</v>
      </c>
      <c r="D29" s="183">
        <v>56.98</v>
      </c>
      <c r="E29" s="1119">
        <f>D29/$D$36</f>
        <v>0.13999999999999999</v>
      </c>
      <c r="F29" s="1119"/>
      <c r="G29" s="1118" t="s">
        <v>43</v>
      </c>
      <c r="H29" s="1118"/>
      <c r="I29" s="1090"/>
      <c r="J29" s="1090"/>
      <c r="K29" s="1090"/>
      <c r="L29" s="1090"/>
      <c r="M29" s="1090"/>
      <c r="N29" s="1090"/>
      <c r="O29" s="1090"/>
      <c r="P29" s="1090"/>
      <c r="Q29" s="1090"/>
      <c r="R29" s="1090"/>
      <c r="S29" s="1090"/>
    </row>
    <row r="30" spans="1:19">
      <c r="A30" s="212" t="s">
        <v>885</v>
      </c>
      <c r="B30" s="117">
        <v>2017</v>
      </c>
      <c r="C30" s="117" t="s">
        <v>180</v>
      </c>
      <c r="D30" s="183">
        <v>40.29</v>
      </c>
      <c r="E30" s="1119">
        <f t="shared" si="0"/>
        <v>9.8992628992628992E-2</v>
      </c>
      <c r="F30" s="1119"/>
      <c r="G30" s="1118" t="s">
        <v>43</v>
      </c>
      <c r="H30" s="1118"/>
      <c r="I30" s="1090"/>
      <c r="J30" s="1090"/>
      <c r="K30" s="1090"/>
      <c r="L30" s="1090"/>
      <c r="M30" s="1090"/>
      <c r="N30" s="1090"/>
      <c r="O30" s="1090"/>
      <c r="P30" s="1090"/>
      <c r="Q30" s="1090"/>
      <c r="R30" s="1090"/>
      <c r="S30" s="1090"/>
    </row>
    <row r="31" spans="1:19">
      <c r="A31" s="212" t="s">
        <v>347</v>
      </c>
      <c r="B31" s="117">
        <v>2017</v>
      </c>
      <c r="C31" s="117" t="s">
        <v>180</v>
      </c>
      <c r="D31" s="183">
        <v>47.62</v>
      </c>
      <c r="E31" s="1119">
        <f t="shared" si="0"/>
        <v>0.117002457002457</v>
      </c>
      <c r="F31" s="1119"/>
      <c r="G31" s="1118" t="s">
        <v>43</v>
      </c>
      <c r="H31" s="1118"/>
      <c r="I31" s="1090"/>
      <c r="J31" s="1090"/>
      <c r="K31" s="1090"/>
      <c r="L31" s="1090"/>
      <c r="M31" s="1090"/>
      <c r="N31" s="1090"/>
      <c r="O31" s="1090"/>
      <c r="P31" s="1090"/>
      <c r="Q31" s="1090"/>
      <c r="R31" s="1090"/>
      <c r="S31" s="1090"/>
    </row>
    <row r="32" spans="1:19">
      <c r="A32" s="212" t="s">
        <v>886</v>
      </c>
      <c r="B32" s="117">
        <v>2022</v>
      </c>
      <c r="C32" s="117" t="s">
        <v>180</v>
      </c>
      <c r="D32" s="183">
        <v>11.4</v>
      </c>
      <c r="E32" s="1119">
        <f t="shared" si="0"/>
        <v>2.800982800982801E-2</v>
      </c>
      <c r="F32" s="1119"/>
      <c r="G32" s="1118" t="s">
        <v>894</v>
      </c>
      <c r="H32" s="1118"/>
      <c r="I32" s="1090"/>
      <c r="J32" s="1090"/>
      <c r="K32" s="1090"/>
      <c r="L32" s="1090"/>
      <c r="M32" s="1090"/>
      <c r="N32" s="1090"/>
      <c r="O32" s="1090"/>
      <c r="P32" s="1090"/>
      <c r="Q32" s="1090"/>
      <c r="R32" s="1090"/>
      <c r="S32" s="1090"/>
    </row>
    <row r="33" spans="1:32">
      <c r="A33" s="212" t="s">
        <v>888</v>
      </c>
      <c r="B33" s="117">
        <v>2017</v>
      </c>
      <c r="C33" s="117" t="s">
        <v>180</v>
      </c>
      <c r="D33" s="183">
        <v>15.06</v>
      </c>
      <c r="E33" s="1119">
        <f t="shared" si="0"/>
        <v>3.7002457002457002E-2</v>
      </c>
      <c r="F33" s="1119"/>
      <c r="G33" s="1118" t="s">
        <v>43</v>
      </c>
      <c r="H33" s="1118"/>
      <c r="I33" s="1090"/>
      <c r="J33" s="1090"/>
      <c r="K33" s="1090"/>
      <c r="L33" s="1090"/>
      <c r="M33" s="1090"/>
      <c r="N33" s="1090"/>
      <c r="O33" s="1090"/>
      <c r="P33" s="1090"/>
      <c r="Q33" s="1090"/>
      <c r="R33" s="1090"/>
      <c r="S33" s="1090"/>
    </row>
    <row r="34" spans="1:32">
      <c r="A34" s="212" t="s">
        <v>238</v>
      </c>
      <c r="B34" s="117">
        <v>2017</v>
      </c>
      <c r="C34" s="117" t="s">
        <v>180</v>
      </c>
      <c r="D34" s="183">
        <f>D36-(SUM(D21:D33,D35))</f>
        <v>38.980000000000018</v>
      </c>
      <c r="E34" s="1119">
        <f t="shared" si="0"/>
        <v>9.5773955773955824E-2</v>
      </c>
      <c r="F34" s="1119"/>
      <c r="G34" s="1118"/>
      <c r="H34" s="1118"/>
      <c r="I34" s="1090"/>
      <c r="J34" s="1090"/>
      <c r="K34" s="1090" t="s">
        <v>895</v>
      </c>
      <c r="L34" s="1090"/>
      <c r="M34" s="1090"/>
      <c r="N34" s="1090"/>
      <c r="O34" s="1090"/>
      <c r="P34" s="1090"/>
      <c r="Q34" s="1090"/>
      <c r="R34" s="1090"/>
      <c r="S34" s="1090"/>
    </row>
    <row r="35" spans="1:32">
      <c r="A35" s="212" t="s">
        <v>889</v>
      </c>
      <c r="B35" s="117">
        <v>2017</v>
      </c>
      <c r="C35" s="117" t="s">
        <v>180</v>
      </c>
      <c r="D35" s="183">
        <v>10.18</v>
      </c>
      <c r="E35" s="1119">
        <f t="shared" si="0"/>
        <v>2.5012285012285012E-2</v>
      </c>
      <c r="F35" s="1119"/>
      <c r="G35" s="1118" t="s">
        <v>43</v>
      </c>
      <c r="H35" s="1118"/>
      <c r="I35" s="1090"/>
      <c r="J35" s="1090"/>
      <c r="K35" s="1090"/>
      <c r="L35" s="1090"/>
      <c r="M35" s="1090"/>
      <c r="N35" s="1090"/>
      <c r="O35" s="1090"/>
      <c r="P35" s="1090"/>
      <c r="Q35" s="1090"/>
      <c r="R35" s="1090"/>
      <c r="S35" s="1090"/>
    </row>
    <row r="36" spans="1:32">
      <c r="A36" s="138" t="s">
        <v>896</v>
      </c>
      <c r="B36" s="127">
        <v>2017</v>
      </c>
      <c r="C36" s="127" t="s">
        <v>180</v>
      </c>
      <c r="D36" s="137">
        <v>407</v>
      </c>
      <c r="E36" s="1120">
        <f>SUM(E21:E35)</f>
        <v>1</v>
      </c>
      <c r="F36" s="1120"/>
      <c r="G36" s="1118"/>
      <c r="H36" s="1118"/>
      <c r="I36" s="1090"/>
      <c r="J36" s="1090"/>
      <c r="K36" s="1090"/>
      <c r="L36" s="1090"/>
      <c r="M36" s="1090"/>
      <c r="N36" s="1090"/>
      <c r="O36" s="1090"/>
      <c r="P36" s="1090"/>
      <c r="Q36" s="1090"/>
      <c r="R36" s="1090"/>
      <c r="S36" s="1090"/>
    </row>
    <row r="38" spans="1:32" ht="30" customHeight="1">
      <c r="A38" s="140" t="s">
        <v>897</v>
      </c>
      <c r="B38" s="140" t="s">
        <v>101</v>
      </c>
      <c r="C38" s="140" t="s">
        <v>131</v>
      </c>
      <c r="D38" s="189" t="s">
        <v>898</v>
      </c>
      <c r="E38" s="189" t="s">
        <v>899</v>
      </c>
      <c r="F38" s="189" t="s">
        <v>900</v>
      </c>
      <c r="G38" s="189" t="s">
        <v>901</v>
      </c>
      <c r="H38" s="189" t="s">
        <v>902</v>
      </c>
      <c r="I38" s="189" t="s">
        <v>903</v>
      </c>
      <c r="J38" s="189" t="s">
        <v>904</v>
      </c>
      <c r="K38" s="189" t="s">
        <v>905</v>
      </c>
      <c r="L38" s="189" t="s">
        <v>906</v>
      </c>
      <c r="M38" s="1088" t="s">
        <v>123</v>
      </c>
      <c r="N38" s="1088"/>
      <c r="O38" s="1088"/>
      <c r="P38" s="1088"/>
      <c r="Q38" s="1088"/>
      <c r="R38" s="1088"/>
      <c r="S38" s="1088"/>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099" t="s">
        <v>907</v>
      </c>
      <c r="N39" s="1099"/>
      <c r="O39" s="1099"/>
      <c r="P39" s="1099"/>
      <c r="Q39" s="1099"/>
      <c r="R39" s="1099"/>
      <c r="S39" s="1099"/>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105" t="s">
        <v>908</v>
      </c>
      <c r="N40" s="1106"/>
      <c r="O40" s="1106"/>
      <c r="P40" s="1106"/>
      <c r="Q40" s="1106"/>
      <c r="R40" s="1106"/>
      <c r="S40" s="1107"/>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105" t="s">
        <v>909</v>
      </c>
      <c r="N41" s="1106"/>
      <c r="O41" s="1106"/>
      <c r="P41" s="1106"/>
      <c r="Q41" s="1106"/>
      <c r="R41" s="1106"/>
      <c r="S41" s="1107"/>
    </row>
    <row r="42" spans="1:32">
      <c r="A42" s="1096" t="s">
        <v>910</v>
      </c>
      <c r="B42" s="1096"/>
      <c r="C42" s="1096"/>
      <c r="D42" s="1096"/>
      <c r="E42" s="1096"/>
      <c r="F42" s="1096"/>
      <c r="G42" s="1096"/>
      <c r="H42" s="1096"/>
      <c r="I42" s="1096"/>
      <c r="J42" s="1096"/>
      <c r="K42" s="1096"/>
      <c r="L42" s="1096"/>
      <c r="M42" s="1096"/>
      <c r="N42" s="1096"/>
      <c r="O42" s="1096"/>
      <c r="P42" s="1096"/>
      <c r="Q42" s="1096"/>
      <c r="R42" s="1096"/>
      <c r="S42" s="1096"/>
      <c r="AD42" s="6"/>
      <c r="AE42" s="6"/>
      <c r="AF42" s="6"/>
    </row>
    <row r="43" spans="1:32" ht="30" customHeight="1">
      <c r="A43" s="214"/>
      <c r="B43" s="140" t="s">
        <v>101</v>
      </c>
      <c r="C43" s="140" t="s">
        <v>131</v>
      </c>
      <c r="D43" s="1097" t="s">
        <v>911</v>
      </c>
      <c r="E43" s="1104"/>
      <c r="F43" s="1098"/>
      <c r="G43" s="1097" t="s">
        <v>912</v>
      </c>
      <c r="H43" s="1104"/>
      <c r="I43" s="1098"/>
      <c r="J43" s="1097" t="s">
        <v>913</v>
      </c>
      <c r="K43" s="1104"/>
      <c r="L43" s="1098"/>
      <c r="M43" s="1088" t="s">
        <v>123</v>
      </c>
      <c r="N43" s="1088"/>
      <c r="O43" s="1088"/>
      <c r="P43" s="1088"/>
      <c r="Q43" s="1088"/>
      <c r="R43" s="1088"/>
      <c r="S43" s="1088"/>
      <c r="AD43" s="6"/>
      <c r="AE43" s="6"/>
      <c r="AF43" s="6"/>
    </row>
    <row r="44" spans="1:32">
      <c r="A44" s="142" t="s">
        <v>85</v>
      </c>
      <c r="B44" s="117"/>
      <c r="C44" s="117" t="s">
        <v>180</v>
      </c>
      <c r="D44" s="1108">
        <f>D39</f>
        <v>0</v>
      </c>
      <c r="E44" s="1109"/>
      <c r="F44" s="1110"/>
      <c r="G44" s="1101">
        <f>D40</f>
        <v>0</v>
      </c>
      <c r="H44" s="1102"/>
      <c r="I44" s="1103"/>
      <c r="J44" s="1101">
        <f>D41</f>
        <v>0</v>
      </c>
      <c r="K44" s="1102"/>
      <c r="L44" s="1103"/>
      <c r="M44" s="1099"/>
      <c r="N44" s="1099"/>
      <c r="O44" s="1099"/>
      <c r="P44" s="1099"/>
      <c r="Q44" s="1099"/>
      <c r="R44" s="1099"/>
      <c r="S44" s="1099"/>
    </row>
    <row r="45" spans="1:32">
      <c r="A45" s="142" t="s">
        <v>86</v>
      </c>
      <c r="B45" s="117"/>
      <c r="C45" s="117" t="s">
        <v>180</v>
      </c>
      <c r="D45" s="1108">
        <f>E39</f>
        <v>0.29570000000000002</v>
      </c>
      <c r="E45" s="1109"/>
      <c r="F45" s="1110"/>
      <c r="G45" s="1101">
        <f>E40</f>
        <v>7.2763666666666662</v>
      </c>
      <c r="H45" s="1102"/>
      <c r="I45" s="1103"/>
      <c r="J45" s="1101">
        <f>E41</f>
        <v>0.22800000000000001</v>
      </c>
      <c r="K45" s="1102"/>
      <c r="L45" s="1103"/>
      <c r="M45" s="1099"/>
      <c r="N45" s="1099"/>
      <c r="O45" s="1099"/>
      <c r="P45" s="1099"/>
      <c r="Q45" s="1099"/>
      <c r="R45" s="1099"/>
      <c r="S45" s="1099"/>
    </row>
    <row r="46" spans="1:32">
      <c r="A46" s="142" t="s">
        <v>87</v>
      </c>
      <c r="B46" s="117"/>
      <c r="C46" s="117" t="s">
        <v>180</v>
      </c>
      <c r="D46" s="1108">
        <f>F39</f>
        <v>0.29570000000000002</v>
      </c>
      <c r="E46" s="1109"/>
      <c r="F46" s="1110"/>
      <c r="G46" s="1101">
        <f>F40</f>
        <v>4.2263666666666664</v>
      </c>
      <c r="H46" s="1102"/>
      <c r="I46" s="1103"/>
      <c r="J46" s="1101">
        <f>F41</f>
        <v>93.731666666666669</v>
      </c>
      <c r="K46" s="1102"/>
      <c r="L46" s="1103"/>
      <c r="M46" s="1099"/>
      <c r="N46" s="1099"/>
      <c r="O46" s="1099"/>
      <c r="P46" s="1099"/>
      <c r="Q46" s="1099"/>
      <c r="R46" s="1099"/>
      <c r="S46" s="1099"/>
    </row>
    <row r="47" spans="1:32">
      <c r="A47" s="142" t="s">
        <v>88</v>
      </c>
      <c r="B47" s="117"/>
      <c r="C47" s="117" t="s">
        <v>180</v>
      </c>
      <c r="D47" s="1108">
        <f>G39</f>
        <v>0</v>
      </c>
      <c r="E47" s="1109"/>
      <c r="F47" s="1110"/>
      <c r="G47" s="1101">
        <f>G40</f>
        <v>0</v>
      </c>
      <c r="H47" s="1102"/>
      <c r="I47" s="1103"/>
      <c r="J47" s="1101">
        <f>G41</f>
        <v>0</v>
      </c>
      <c r="K47" s="1102"/>
      <c r="L47" s="1103"/>
      <c r="M47" s="1099"/>
      <c r="N47" s="1099"/>
      <c r="O47" s="1099"/>
      <c r="P47" s="1099"/>
      <c r="Q47" s="1099"/>
      <c r="R47" s="1099"/>
      <c r="S47" s="1099"/>
    </row>
    <row r="48" spans="1:32">
      <c r="A48" s="142" t="s">
        <v>89</v>
      </c>
      <c r="B48" s="117"/>
      <c r="C48" s="117" t="s">
        <v>180</v>
      </c>
      <c r="D48" s="1108">
        <f>H39</f>
        <v>0</v>
      </c>
      <c r="E48" s="1109"/>
      <c r="F48" s="1110"/>
      <c r="G48" s="1101">
        <f>H40</f>
        <v>0</v>
      </c>
      <c r="H48" s="1102"/>
      <c r="I48" s="1103"/>
      <c r="J48" s="1101">
        <f>H41</f>
        <v>0</v>
      </c>
      <c r="K48" s="1102"/>
      <c r="L48" s="1103"/>
      <c r="M48" s="1099"/>
      <c r="N48" s="1099"/>
      <c r="O48" s="1099"/>
      <c r="P48" s="1099"/>
      <c r="Q48" s="1099"/>
      <c r="R48" s="1099"/>
      <c r="S48" s="1099"/>
    </row>
    <row r="49" spans="1:19">
      <c r="A49" s="142" t="s">
        <v>90</v>
      </c>
      <c r="B49" s="117"/>
      <c r="C49" s="117" t="s">
        <v>180</v>
      </c>
      <c r="D49" s="1108">
        <f>I39</f>
        <v>0</v>
      </c>
      <c r="E49" s="1109"/>
      <c r="F49" s="1110"/>
      <c r="G49" s="1101">
        <f>I40</f>
        <v>0</v>
      </c>
      <c r="H49" s="1102"/>
      <c r="I49" s="1103"/>
      <c r="J49" s="1101">
        <f>I41</f>
        <v>10.18</v>
      </c>
      <c r="K49" s="1102"/>
      <c r="L49" s="1103"/>
      <c r="M49" s="1099"/>
      <c r="N49" s="1099"/>
      <c r="O49" s="1099"/>
      <c r="P49" s="1099"/>
      <c r="Q49" s="1099"/>
      <c r="R49" s="1099"/>
      <c r="S49" s="1099"/>
    </row>
    <row r="50" spans="1:19">
      <c r="A50" s="142" t="s">
        <v>91</v>
      </c>
      <c r="B50" s="117"/>
      <c r="C50" s="117" t="s">
        <v>180</v>
      </c>
      <c r="D50" s="1108">
        <f>J39</f>
        <v>22.768900000000002</v>
      </c>
      <c r="E50" s="1109"/>
      <c r="F50" s="1110"/>
      <c r="G50" s="1101">
        <f>J40</f>
        <v>30.108566666666665</v>
      </c>
      <c r="H50" s="1102"/>
      <c r="I50" s="1103"/>
      <c r="J50" s="1101">
        <f>J41</f>
        <v>89.234166666666653</v>
      </c>
      <c r="K50" s="1102"/>
      <c r="L50" s="1103"/>
      <c r="M50" s="1099"/>
      <c r="N50" s="1099"/>
      <c r="O50" s="1099"/>
      <c r="P50" s="1099"/>
      <c r="Q50" s="1099"/>
      <c r="R50" s="1099"/>
      <c r="S50" s="1099"/>
    </row>
    <row r="51" spans="1:19">
      <c r="A51" s="215" t="s">
        <v>95</v>
      </c>
      <c r="B51" s="117"/>
      <c r="C51" s="117" t="s">
        <v>180</v>
      </c>
      <c r="D51" s="1108">
        <f>K39</f>
        <v>3.5484</v>
      </c>
      <c r="E51" s="1109"/>
      <c r="F51" s="1110"/>
      <c r="G51" s="1101">
        <f>K40</f>
        <v>4.2913999999999994</v>
      </c>
      <c r="H51" s="1102"/>
      <c r="I51" s="1103"/>
      <c r="J51" s="1101">
        <f>K41</f>
        <v>115.88066666666667</v>
      </c>
      <c r="K51" s="1102"/>
      <c r="L51" s="1103"/>
      <c r="M51" s="1099"/>
      <c r="N51" s="1099"/>
      <c r="O51" s="1099"/>
      <c r="P51" s="1099"/>
      <c r="Q51" s="1099"/>
      <c r="R51" s="1099"/>
      <c r="S51" s="1099"/>
    </row>
    <row r="52" spans="1:19">
      <c r="A52" s="142" t="s">
        <v>878</v>
      </c>
      <c r="B52" s="117"/>
      <c r="C52" s="117" t="s">
        <v>180</v>
      </c>
      <c r="D52" s="1108">
        <f>L39</f>
        <v>2.6612999999999998</v>
      </c>
      <c r="E52" s="1109"/>
      <c r="F52" s="1110"/>
      <c r="G52" s="1101">
        <f>L40</f>
        <v>2.6073</v>
      </c>
      <c r="H52" s="1102"/>
      <c r="I52" s="1103"/>
      <c r="J52" s="1101">
        <f>L41</f>
        <v>19.665500000000002</v>
      </c>
      <c r="K52" s="1102"/>
      <c r="L52" s="1103"/>
      <c r="M52" s="1099"/>
      <c r="N52" s="1099"/>
      <c r="O52" s="1099"/>
      <c r="P52" s="1099"/>
      <c r="Q52" s="1099"/>
      <c r="R52" s="1099"/>
      <c r="S52" s="1099"/>
    </row>
    <row r="54" spans="1:19" ht="30" customHeight="1">
      <c r="A54" s="140" t="s">
        <v>100</v>
      </c>
      <c r="B54" s="140" t="s">
        <v>101</v>
      </c>
      <c r="C54" s="140" t="s">
        <v>131</v>
      </c>
      <c r="D54" s="189" t="s">
        <v>898</v>
      </c>
      <c r="E54" s="189" t="s">
        <v>899</v>
      </c>
      <c r="F54" s="189" t="s">
        <v>900</v>
      </c>
      <c r="G54" s="189" t="s">
        <v>901</v>
      </c>
      <c r="H54" s="189" t="s">
        <v>902</v>
      </c>
      <c r="I54" s="189" t="s">
        <v>903</v>
      </c>
      <c r="J54" s="189" t="s">
        <v>904</v>
      </c>
      <c r="K54" s="189" t="s">
        <v>905</v>
      </c>
      <c r="L54" s="189" t="s">
        <v>906</v>
      </c>
      <c r="M54" s="1088" t="s">
        <v>123</v>
      </c>
      <c r="N54" s="1088"/>
      <c r="O54" s="1088"/>
      <c r="P54" s="1088"/>
      <c r="Q54" s="1088"/>
      <c r="R54" s="1088"/>
      <c r="S54" s="1088"/>
    </row>
    <row r="55" spans="1:19">
      <c r="A55" s="212" t="s">
        <v>879</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099"/>
      <c r="N55" s="1099"/>
      <c r="O55" s="1099"/>
      <c r="P55" s="1099"/>
      <c r="Q55" s="1099"/>
      <c r="R55" s="1099"/>
      <c r="S55" s="1099"/>
    </row>
    <row r="56" spans="1:19">
      <c r="A56" s="212" t="s">
        <v>882</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099"/>
      <c r="N56" s="1099"/>
      <c r="O56" s="1099"/>
      <c r="P56" s="1099"/>
      <c r="Q56" s="1099"/>
      <c r="R56" s="1099"/>
      <c r="S56" s="1099"/>
    </row>
    <row r="57" spans="1:19">
      <c r="A57" s="212" t="s">
        <v>336</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099"/>
      <c r="N57" s="1099"/>
      <c r="O57" s="1099"/>
      <c r="P57" s="1099"/>
      <c r="Q57" s="1099"/>
      <c r="R57" s="1099"/>
      <c r="S57" s="1099"/>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099"/>
      <c r="N58" s="1099"/>
      <c r="O58" s="1099"/>
      <c r="P58" s="1099"/>
      <c r="Q58" s="1099"/>
      <c r="R58" s="1099"/>
      <c r="S58" s="1099"/>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099"/>
      <c r="N59" s="1099"/>
      <c r="O59" s="1099"/>
      <c r="P59" s="1099"/>
      <c r="Q59" s="1099"/>
      <c r="R59" s="1099"/>
      <c r="S59" s="1099"/>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099"/>
      <c r="N60" s="1099"/>
      <c r="O60" s="1099"/>
      <c r="P60" s="1099"/>
      <c r="Q60" s="1099"/>
      <c r="R60" s="1099"/>
      <c r="S60" s="1099"/>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099"/>
      <c r="N61" s="1099"/>
      <c r="O61" s="1099"/>
      <c r="P61" s="1099"/>
      <c r="Q61" s="1099"/>
      <c r="R61" s="1099"/>
      <c r="S61" s="1099"/>
    </row>
    <row r="62" spans="1:19">
      <c r="A62" s="212" t="s">
        <v>355</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099"/>
      <c r="N62" s="1099"/>
      <c r="O62" s="1099"/>
      <c r="P62" s="1099"/>
      <c r="Q62" s="1099"/>
      <c r="R62" s="1099"/>
      <c r="S62" s="1099"/>
    </row>
    <row r="63" spans="1:19">
      <c r="A63" s="212" t="s">
        <v>345</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099"/>
      <c r="N63" s="1099"/>
      <c r="O63" s="1099"/>
      <c r="P63" s="1099"/>
      <c r="Q63" s="1099"/>
      <c r="R63" s="1099"/>
      <c r="S63" s="1099"/>
    </row>
    <row r="64" spans="1:19">
      <c r="A64" s="212" t="s">
        <v>885</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099"/>
      <c r="N64" s="1099"/>
      <c r="O64" s="1099"/>
      <c r="P64" s="1099"/>
      <c r="Q64" s="1099"/>
      <c r="R64" s="1099"/>
      <c r="S64" s="1099"/>
    </row>
    <row r="65" spans="1:19">
      <c r="A65" s="212" t="s">
        <v>347</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099"/>
      <c r="N65" s="1099"/>
      <c r="O65" s="1099"/>
      <c r="P65" s="1099"/>
      <c r="Q65" s="1099"/>
      <c r="R65" s="1099"/>
      <c r="S65" s="1099"/>
    </row>
    <row r="66" spans="1:19">
      <c r="A66" s="212" t="s">
        <v>886</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099"/>
      <c r="N66" s="1099"/>
      <c r="O66" s="1099"/>
      <c r="P66" s="1099"/>
      <c r="Q66" s="1099"/>
      <c r="R66" s="1099"/>
      <c r="S66" s="1099"/>
    </row>
    <row r="67" spans="1:19">
      <c r="A67" s="212" t="s">
        <v>888</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099"/>
      <c r="N67" s="1099"/>
      <c r="O67" s="1099"/>
      <c r="P67" s="1099"/>
      <c r="Q67" s="1099"/>
      <c r="R67" s="1099"/>
      <c r="S67" s="1099"/>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099"/>
      <c r="N68" s="1099"/>
      <c r="O68" s="1099"/>
      <c r="P68" s="1099"/>
      <c r="Q68" s="1099"/>
      <c r="R68" s="1099"/>
      <c r="S68" s="1099"/>
    </row>
    <row r="69" spans="1:19">
      <c r="A69" s="212" t="s">
        <v>889</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099"/>
      <c r="N69" s="1099"/>
      <c r="O69" s="1099"/>
      <c r="P69" s="1099"/>
      <c r="Q69" s="1099"/>
      <c r="R69" s="1099"/>
      <c r="S69" s="1099"/>
    </row>
    <row r="71" spans="1:19" s="6" customFormat="1" ht="30" customHeight="1">
      <c r="A71" s="1100" t="s">
        <v>781</v>
      </c>
      <c r="B71" s="1100"/>
      <c r="C71" s="1100"/>
      <c r="D71" s="1100"/>
      <c r="E71" s="1100"/>
      <c r="F71" s="1100"/>
      <c r="G71" s="1100"/>
      <c r="H71" s="1100"/>
      <c r="I71" s="1100"/>
      <c r="J71" s="1100"/>
      <c r="K71" s="1100"/>
      <c r="L71" s="1100"/>
      <c r="M71" s="1100"/>
      <c r="N71" s="1100"/>
      <c r="O71" s="1100"/>
      <c r="P71" s="1100"/>
      <c r="Q71" s="1100"/>
      <c r="R71" s="1100"/>
      <c r="S71" s="1100"/>
    </row>
    <row r="72" spans="1:19" ht="30" customHeight="1">
      <c r="A72" s="139" t="s">
        <v>100</v>
      </c>
      <c r="B72" s="139" t="s">
        <v>101</v>
      </c>
      <c r="C72" s="139" t="s">
        <v>131</v>
      </c>
      <c r="D72" s="139" t="s">
        <v>890</v>
      </c>
      <c r="E72" s="1114" t="s">
        <v>104</v>
      </c>
      <c r="F72" s="1115"/>
      <c r="G72" s="1115"/>
      <c r="H72" s="1116"/>
      <c r="I72" s="1117" t="s">
        <v>892</v>
      </c>
      <c r="J72" s="1117"/>
      <c r="K72" s="1117" t="s">
        <v>123</v>
      </c>
      <c r="L72" s="1117"/>
      <c r="M72" s="1117"/>
      <c r="N72" s="1117"/>
      <c r="O72" s="1117"/>
      <c r="P72" s="1117"/>
      <c r="Q72" s="1117"/>
      <c r="R72" s="1117"/>
      <c r="S72" s="1117"/>
    </row>
    <row r="73" spans="1:19">
      <c r="A73" s="212" t="s">
        <v>879</v>
      </c>
      <c r="B73" s="117">
        <v>2017</v>
      </c>
      <c r="C73" s="117" t="s">
        <v>182</v>
      </c>
      <c r="D73" s="183">
        <f t="shared" ref="D73:D87" si="18">E21*$D$88</f>
        <v>606.73285145454543</v>
      </c>
      <c r="E73" s="1111"/>
      <c r="F73" s="1112"/>
      <c r="G73" s="1112"/>
      <c r="H73" s="1113"/>
      <c r="I73" s="1090"/>
      <c r="J73" s="1090"/>
      <c r="K73" s="1090" t="s">
        <v>125</v>
      </c>
      <c r="L73" s="1090"/>
      <c r="M73" s="1090"/>
      <c r="N73" s="1090"/>
      <c r="O73" s="1090"/>
      <c r="P73" s="1090"/>
      <c r="Q73" s="1090"/>
      <c r="R73" s="1090"/>
      <c r="S73" s="1090"/>
    </row>
    <row r="74" spans="1:19">
      <c r="A74" s="212" t="s">
        <v>882</v>
      </c>
      <c r="B74" s="117">
        <v>2017</v>
      </c>
      <c r="C74" s="117" t="s">
        <v>182</v>
      </c>
      <c r="D74" s="183">
        <f t="shared" si="18"/>
        <v>33.44519945454546</v>
      </c>
      <c r="E74" s="1111"/>
      <c r="F74" s="1112"/>
      <c r="G74" s="1112"/>
      <c r="H74" s="1113"/>
      <c r="I74" s="1090"/>
      <c r="J74" s="1090"/>
      <c r="K74" s="1090" t="s">
        <v>125</v>
      </c>
      <c r="L74" s="1090"/>
      <c r="M74" s="1090"/>
      <c r="N74" s="1090"/>
      <c r="O74" s="1090"/>
      <c r="P74" s="1090"/>
      <c r="Q74" s="1090"/>
      <c r="R74" s="1090"/>
      <c r="S74" s="1090"/>
    </row>
    <row r="75" spans="1:19">
      <c r="A75" s="212" t="s">
        <v>336</v>
      </c>
      <c r="B75" s="117">
        <v>2017</v>
      </c>
      <c r="C75" s="117" t="s">
        <v>182</v>
      </c>
      <c r="D75" s="183">
        <f t="shared" si="18"/>
        <v>116.95560545454546</v>
      </c>
      <c r="E75" s="1111"/>
      <c r="F75" s="1112"/>
      <c r="G75" s="1112"/>
      <c r="H75" s="1113"/>
      <c r="I75" s="1090"/>
      <c r="J75" s="1090"/>
      <c r="K75" s="1090" t="s">
        <v>125</v>
      </c>
      <c r="L75" s="1090"/>
      <c r="M75" s="1090"/>
      <c r="N75" s="1090"/>
      <c r="O75" s="1090"/>
      <c r="P75" s="1090"/>
      <c r="Q75" s="1090"/>
      <c r="R75" s="1090"/>
      <c r="S75" s="1090"/>
    </row>
    <row r="76" spans="1:19">
      <c r="A76" s="212" t="s">
        <v>241</v>
      </c>
      <c r="B76" s="117">
        <v>2017</v>
      </c>
      <c r="C76" s="117" t="s">
        <v>182</v>
      </c>
      <c r="D76" s="183">
        <f t="shared" si="18"/>
        <v>25.032603272727275</v>
      </c>
      <c r="E76" s="1111"/>
      <c r="F76" s="1112"/>
      <c r="G76" s="1112"/>
      <c r="H76" s="1113"/>
      <c r="I76" s="1090"/>
      <c r="J76" s="1090"/>
      <c r="K76" s="1090" t="s">
        <v>125</v>
      </c>
      <c r="L76" s="1090"/>
      <c r="M76" s="1090"/>
      <c r="N76" s="1090"/>
      <c r="O76" s="1090"/>
      <c r="P76" s="1090"/>
      <c r="Q76" s="1090"/>
      <c r="R76" s="1090"/>
      <c r="S76" s="1090"/>
    </row>
    <row r="77" spans="1:19">
      <c r="A77" s="212" t="s">
        <v>239</v>
      </c>
      <c r="B77" s="117">
        <v>2017</v>
      </c>
      <c r="C77" s="117" t="s">
        <v>182</v>
      </c>
      <c r="D77" s="183">
        <f t="shared" si="18"/>
        <v>8.4125961818181825</v>
      </c>
      <c r="E77" s="1111"/>
      <c r="F77" s="1112"/>
      <c r="G77" s="1112"/>
      <c r="H77" s="1113"/>
      <c r="I77" s="1090"/>
      <c r="J77" s="1090"/>
      <c r="K77" s="1090" t="s">
        <v>125</v>
      </c>
      <c r="L77" s="1090"/>
      <c r="M77" s="1090"/>
      <c r="N77" s="1090"/>
      <c r="O77" s="1090"/>
      <c r="P77" s="1090"/>
      <c r="Q77" s="1090"/>
      <c r="R77" s="1090"/>
      <c r="S77" s="1090"/>
    </row>
    <row r="78" spans="1:19">
      <c r="A78" s="212" t="s">
        <v>240</v>
      </c>
      <c r="B78" s="117">
        <v>2017</v>
      </c>
      <c r="C78" s="117" t="s">
        <v>182</v>
      </c>
      <c r="D78" s="183">
        <f t="shared" si="18"/>
        <v>217.08601854545455</v>
      </c>
      <c r="E78" s="1111"/>
      <c r="F78" s="1112"/>
      <c r="G78" s="1112"/>
      <c r="H78" s="1113"/>
      <c r="I78" s="1090"/>
      <c r="J78" s="1090"/>
      <c r="K78" s="1090" t="s">
        <v>125</v>
      </c>
      <c r="L78" s="1090"/>
      <c r="M78" s="1090"/>
      <c r="N78" s="1090"/>
      <c r="O78" s="1090"/>
      <c r="P78" s="1090"/>
      <c r="Q78" s="1090"/>
      <c r="R78" s="1090"/>
      <c r="S78" s="1090"/>
    </row>
    <row r="79" spans="1:19">
      <c r="A79" s="212" t="s">
        <v>191</v>
      </c>
      <c r="B79" s="117">
        <v>2017</v>
      </c>
      <c r="C79" s="117" t="s">
        <v>182</v>
      </c>
      <c r="D79" s="183">
        <f t="shared" si="18"/>
        <v>594.42173509090912</v>
      </c>
      <c r="E79" s="1111"/>
      <c r="F79" s="1112"/>
      <c r="G79" s="1112"/>
      <c r="H79" s="1113"/>
      <c r="I79" s="1090"/>
      <c r="J79" s="1090"/>
      <c r="K79" s="1090" t="s">
        <v>125</v>
      </c>
      <c r="L79" s="1090"/>
      <c r="M79" s="1090"/>
      <c r="N79" s="1090"/>
      <c r="O79" s="1090"/>
      <c r="P79" s="1090"/>
      <c r="Q79" s="1090"/>
      <c r="R79" s="1090"/>
      <c r="S79" s="1090"/>
    </row>
    <row r="80" spans="1:19">
      <c r="A80" s="212" t="s">
        <v>355</v>
      </c>
      <c r="B80" s="117">
        <v>2017</v>
      </c>
      <c r="C80" s="117" t="s">
        <v>182</v>
      </c>
      <c r="D80" s="183">
        <f t="shared" si="18"/>
        <v>2224.4135416363638</v>
      </c>
      <c r="E80" s="1111"/>
      <c r="F80" s="1112"/>
      <c r="G80" s="1112"/>
      <c r="H80" s="1113"/>
      <c r="I80" s="1090"/>
      <c r="J80" s="1090"/>
      <c r="K80" s="1090" t="s">
        <v>125</v>
      </c>
      <c r="L80" s="1090"/>
      <c r="M80" s="1090"/>
      <c r="N80" s="1090"/>
      <c r="O80" s="1090"/>
      <c r="P80" s="1090"/>
      <c r="Q80" s="1090"/>
      <c r="R80" s="1090"/>
      <c r="S80" s="1090"/>
    </row>
    <row r="81" spans="1:19">
      <c r="A81" s="212" t="s">
        <v>345</v>
      </c>
      <c r="B81" s="117">
        <v>2017</v>
      </c>
      <c r="C81" s="117" t="s">
        <v>182</v>
      </c>
      <c r="D81" s="183">
        <f t="shared" si="18"/>
        <v>1169.1456839999998</v>
      </c>
      <c r="E81" s="1111"/>
      <c r="F81" s="1112"/>
      <c r="G81" s="1112"/>
      <c r="H81" s="1113"/>
      <c r="I81" s="1090"/>
      <c r="J81" s="1090"/>
      <c r="K81" s="1090" t="s">
        <v>125</v>
      </c>
      <c r="L81" s="1090"/>
      <c r="M81" s="1090"/>
      <c r="N81" s="1090"/>
      <c r="O81" s="1090"/>
      <c r="P81" s="1090"/>
      <c r="Q81" s="1090"/>
      <c r="R81" s="1090"/>
      <c r="S81" s="1090"/>
    </row>
    <row r="82" spans="1:19">
      <c r="A82" s="212" t="s">
        <v>885</v>
      </c>
      <c r="B82" s="117">
        <v>2017</v>
      </c>
      <c r="C82" s="117" t="s">
        <v>182</v>
      </c>
      <c r="D82" s="183">
        <f t="shared" si="18"/>
        <v>826.69146381818189</v>
      </c>
      <c r="E82" s="1111"/>
      <c r="F82" s="1112"/>
      <c r="G82" s="1112"/>
      <c r="H82" s="1113"/>
      <c r="I82" s="1090"/>
      <c r="J82" s="1090"/>
      <c r="K82" s="1090" t="s">
        <v>125</v>
      </c>
      <c r="L82" s="1090"/>
      <c r="M82" s="1090"/>
      <c r="N82" s="1090"/>
      <c r="O82" s="1090"/>
      <c r="P82" s="1090"/>
      <c r="Q82" s="1090"/>
      <c r="R82" s="1090"/>
      <c r="S82" s="1090"/>
    </row>
    <row r="83" spans="1:19">
      <c r="A83" s="212" t="s">
        <v>347</v>
      </c>
      <c r="B83" s="117">
        <v>2017</v>
      </c>
      <c r="C83" s="117" t="s">
        <v>182</v>
      </c>
      <c r="D83" s="183">
        <f t="shared" si="18"/>
        <v>977.09226872727277</v>
      </c>
      <c r="E83" s="1111"/>
      <c r="F83" s="1112"/>
      <c r="G83" s="1112"/>
      <c r="H83" s="1113"/>
      <c r="I83" s="1090"/>
      <c r="J83" s="1090"/>
      <c r="K83" s="1090" t="s">
        <v>125</v>
      </c>
      <c r="L83" s="1090"/>
      <c r="M83" s="1090"/>
      <c r="N83" s="1090"/>
      <c r="O83" s="1090"/>
      <c r="P83" s="1090"/>
      <c r="Q83" s="1090"/>
      <c r="R83" s="1090"/>
      <c r="S83" s="1090"/>
    </row>
    <row r="84" spans="1:19">
      <c r="A84" s="212" t="s">
        <v>886</v>
      </c>
      <c r="B84" s="117">
        <v>2017</v>
      </c>
      <c r="C84" s="117" t="s">
        <v>182</v>
      </c>
      <c r="D84" s="183">
        <v>200</v>
      </c>
      <c r="E84" s="1111"/>
      <c r="F84" s="1112"/>
      <c r="G84" s="1112"/>
      <c r="H84" s="1113"/>
      <c r="I84" s="1090"/>
      <c r="J84" s="1090"/>
      <c r="K84" s="1090" t="s">
        <v>125</v>
      </c>
      <c r="L84" s="1090"/>
      <c r="M84" s="1090"/>
      <c r="N84" s="1090"/>
      <c r="O84" s="1090"/>
      <c r="P84" s="1090"/>
      <c r="Q84" s="1090"/>
      <c r="R84" s="1090"/>
      <c r="S84" s="1090"/>
    </row>
    <row r="85" spans="1:19">
      <c r="A85" s="212" t="s">
        <v>888</v>
      </c>
      <c r="B85" s="117">
        <v>2017</v>
      </c>
      <c r="C85" s="117" t="s">
        <v>182</v>
      </c>
      <c r="D85" s="183">
        <f t="shared" si="18"/>
        <v>309.00902072727274</v>
      </c>
      <c r="E85" s="1111"/>
      <c r="F85" s="1112"/>
      <c r="G85" s="1112"/>
      <c r="H85" s="1113"/>
      <c r="I85" s="1090"/>
      <c r="J85" s="1090"/>
      <c r="K85" s="1090" t="s">
        <v>125</v>
      </c>
      <c r="L85" s="1090"/>
      <c r="M85" s="1090"/>
      <c r="N85" s="1090"/>
      <c r="O85" s="1090"/>
      <c r="P85" s="1090"/>
      <c r="Q85" s="1090"/>
      <c r="R85" s="1090"/>
      <c r="S85" s="1090"/>
    </row>
    <row r="86" spans="1:19">
      <c r="A86" s="212" t="s">
        <v>238</v>
      </c>
      <c r="B86" s="117">
        <v>2017</v>
      </c>
      <c r="C86" s="117" t="s">
        <v>182</v>
      </c>
      <c r="D86" s="183">
        <f>D88-(SUM(D73:D85,D87))</f>
        <v>833.7234040000003</v>
      </c>
      <c r="E86" s="1111"/>
      <c r="F86" s="1112"/>
      <c r="G86" s="1112"/>
      <c r="H86" s="1113"/>
      <c r="I86" s="1090"/>
      <c r="J86" s="1090"/>
      <c r="K86" s="1090" t="s">
        <v>125</v>
      </c>
      <c r="L86" s="1090"/>
      <c r="M86" s="1090"/>
      <c r="N86" s="1090"/>
      <c r="O86" s="1090"/>
      <c r="P86" s="1090"/>
      <c r="Q86" s="1090"/>
      <c r="R86" s="1090"/>
      <c r="S86" s="1090"/>
    </row>
    <row r="87" spans="1:19">
      <c r="A87" s="212" t="s">
        <v>889</v>
      </c>
      <c r="B87" s="117">
        <v>2017</v>
      </c>
      <c r="C87" s="117" t="s">
        <v>182</v>
      </c>
      <c r="D87" s="183">
        <f t="shared" si="18"/>
        <v>208.87860763636365</v>
      </c>
      <c r="E87" s="1111"/>
      <c r="F87" s="1112"/>
      <c r="G87" s="1112"/>
      <c r="H87" s="1113"/>
      <c r="I87" s="1090"/>
      <c r="J87" s="1090"/>
      <c r="K87" s="1090" t="s">
        <v>125</v>
      </c>
      <c r="L87" s="1090"/>
      <c r="M87" s="1090"/>
      <c r="N87" s="1090"/>
      <c r="O87" s="1090"/>
      <c r="P87" s="1090"/>
      <c r="Q87" s="1090"/>
      <c r="R87" s="1090"/>
      <c r="S87" s="1090"/>
    </row>
    <row r="88" spans="1:19">
      <c r="A88" s="138" t="s">
        <v>896</v>
      </c>
      <c r="B88" s="127">
        <v>2017</v>
      </c>
      <c r="C88" s="117" t="s">
        <v>182</v>
      </c>
      <c r="D88" s="184">
        <f>(25.9*511800000/1000000)*0.63</f>
        <v>8351.0406000000003</v>
      </c>
      <c r="E88" s="1111" t="s">
        <v>124</v>
      </c>
      <c r="F88" s="1112"/>
      <c r="G88" s="1112" t="s">
        <v>124</v>
      </c>
      <c r="H88" s="1113"/>
      <c r="I88" s="1090"/>
      <c r="J88" s="1090"/>
      <c r="K88" s="1090"/>
      <c r="L88" s="1090"/>
      <c r="M88" s="1090"/>
      <c r="N88" s="1090"/>
      <c r="O88" s="1090"/>
      <c r="P88" s="1090"/>
      <c r="Q88" s="1090"/>
      <c r="R88" s="1090"/>
      <c r="S88" s="1090"/>
    </row>
    <row r="90" spans="1:19" ht="30" customHeight="1">
      <c r="A90" s="140" t="s">
        <v>897</v>
      </c>
      <c r="B90" s="140" t="s">
        <v>101</v>
      </c>
      <c r="C90" s="140" t="s">
        <v>131</v>
      </c>
      <c r="D90" s="189" t="s">
        <v>898</v>
      </c>
      <c r="E90" s="189" t="s">
        <v>899</v>
      </c>
      <c r="F90" s="189" t="s">
        <v>900</v>
      </c>
      <c r="G90" s="189" t="s">
        <v>901</v>
      </c>
      <c r="H90" s="189" t="s">
        <v>902</v>
      </c>
      <c r="I90" s="189" t="s">
        <v>903</v>
      </c>
      <c r="J90" s="189" t="s">
        <v>904</v>
      </c>
      <c r="K90" s="189" t="s">
        <v>905</v>
      </c>
      <c r="L90" s="189" t="s">
        <v>906</v>
      </c>
      <c r="M90" s="1088" t="s">
        <v>123</v>
      </c>
      <c r="N90" s="1088"/>
      <c r="O90" s="1088"/>
      <c r="P90" s="1088"/>
      <c r="Q90" s="1088"/>
      <c r="R90" s="1088"/>
      <c r="S90" s="1088"/>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099" t="s">
        <v>907</v>
      </c>
      <c r="N91" s="1099"/>
      <c r="O91" s="1099"/>
      <c r="P91" s="1099"/>
      <c r="Q91" s="1099"/>
      <c r="R91" s="1099"/>
      <c r="S91" s="1099"/>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105" t="s">
        <v>908</v>
      </c>
      <c r="N92" s="1106"/>
      <c r="O92" s="1106"/>
      <c r="P92" s="1106"/>
      <c r="Q92" s="1106"/>
      <c r="R92" s="1106"/>
      <c r="S92" s="1107"/>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105" t="s">
        <v>914</v>
      </c>
      <c r="N93" s="1106"/>
      <c r="O93" s="1106"/>
      <c r="P93" s="1106"/>
      <c r="Q93" s="1106"/>
      <c r="R93" s="1106"/>
      <c r="S93" s="1107"/>
    </row>
    <row r="94" spans="1:19">
      <c r="A94" s="1096" t="s">
        <v>910</v>
      </c>
      <c r="B94" s="1096"/>
      <c r="C94" s="1096"/>
      <c r="D94" s="1096"/>
      <c r="E94" s="1096"/>
      <c r="F94" s="1096"/>
      <c r="G94" s="1096"/>
      <c r="H94" s="1096"/>
      <c r="I94" s="1096"/>
      <c r="J94" s="1096"/>
      <c r="K94" s="1096"/>
      <c r="L94" s="1096"/>
      <c r="M94" s="1096"/>
      <c r="N94" s="1096"/>
      <c r="O94" s="1096"/>
      <c r="P94" s="1096"/>
      <c r="Q94" s="1096"/>
      <c r="R94" s="1096"/>
      <c r="S94" s="1096"/>
    </row>
    <row r="95" spans="1:19" ht="30" customHeight="1">
      <c r="A95" s="214"/>
      <c r="B95" s="140" t="s">
        <v>101</v>
      </c>
      <c r="C95" s="140" t="s">
        <v>131</v>
      </c>
      <c r="D95" s="1097" t="s">
        <v>911</v>
      </c>
      <c r="E95" s="1104"/>
      <c r="F95" s="1098"/>
      <c r="G95" s="1097" t="s">
        <v>912</v>
      </c>
      <c r="H95" s="1104"/>
      <c r="I95" s="1098"/>
      <c r="J95" s="1097" t="s">
        <v>913</v>
      </c>
      <c r="K95" s="1104"/>
      <c r="L95" s="1098"/>
      <c r="M95" s="1088" t="s">
        <v>123</v>
      </c>
      <c r="N95" s="1088"/>
      <c r="O95" s="1088"/>
      <c r="P95" s="1088"/>
      <c r="Q95" s="1088"/>
      <c r="R95" s="1088"/>
      <c r="S95" s="1088"/>
    </row>
    <row r="96" spans="1:19">
      <c r="A96" s="142" t="s">
        <v>85</v>
      </c>
      <c r="B96" s="117">
        <v>2017</v>
      </c>
      <c r="C96" s="117" t="s">
        <v>182</v>
      </c>
      <c r="D96" s="1101">
        <f>D91</f>
        <v>0</v>
      </c>
      <c r="E96" s="1102"/>
      <c r="F96" s="1103"/>
      <c r="G96" s="1101">
        <f>D92</f>
        <v>0</v>
      </c>
      <c r="H96" s="1102"/>
      <c r="I96" s="1103"/>
      <c r="J96" s="1101">
        <f>D93</f>
        <v>0</v>
      </c>
      <c r="K96" s="1102"/>
      <c r="L96" s="1103"/>
      <c r="M96" s="1099"/>
      <c r="N96" s="1099"/>
      <c r="O96" s="1099"/>
      <c r="P96" s="1099"/>
      <c r="Q96" s="1099"/>
      <c r="R96" s="1099"/>
      <c r="S96" s="1099"/>
    </row>
    <row r="97" spans="1:19">
      <c r="A97" s="142" t="s">
        <v>86</v>
      </c>
      <c r="B97" s="117">
        <v>2017</v>
      </c>
      <c r="C97" s="117" t="s">
        <v>182</v>
      </c>
      <c r="D97" s="1101">
        <f>E91</f>
        <v>6.0673285145454541</v>
      </c>
      <c r="E97" s="1102"/>
      <c r="F97" s="1103"/>
      <c r="G97" s="1101">
        <f>E92</f>
        <v>149.30032789636365</v>
      </c>
      <c r="H97" s="1102"/>
      <c r="I97" s="1103"/>
      <c r="J97" s="1101">
        <f>E93</f>
        <v>4</v>
      </c>
      <c r="K97" s="1102"/>
      <c r="L97" s="1103"/>
      <c r="M97" s="1099"/>
      <c r="N97" s="1099"/>
      <c r="O97" s="1099"/>
      <c r="P97" s="1099"/>
      <c r="Q97" s="1099"/>
      <c r="R97" s="1099"/>
      <c r="S97" s="1099"/>
    </row>
    <row r="98" spans="1:19">
      <c r="A98" s="142" t="s">
        <v>87</v>
      </c>
      <c r="B98" s="117">
        <v>2017</v>
      </c>
      <c r="C98" s="117" t="s">
        <v>182</v>
      </c>
      <c r="D98" s="1101">
        <f>F91</f>
        <v>6.0673285145454541</v>
      </c>
      <c r="E98" s="1102"/>
      <c r="F98" s="1103"/>
      <c r="G98" s="1101">
        <f>F92</f>
        <v>86.718819714545447</v>
      </c>
      <c r="H98" s="1102"/>
      <c r="I98" s="1103"/>
      <c r="J98" s="1101">
        <f>F93</f>
        <v>1903.3411817515153</v>
      </c>
      <c r="K98" s="1102"/>
      <c r="L98" s="1103"/>
      <c r="M98" s="1099"/>
      <c r="N98" s="1099"/>
      <c r="O98" s="1099"/>
      <c r="P98" s="1099"/>
      <c r="Q98" s="1099"/>
      <c r="R98" s="1099"/>
      <c r="S98" s="1099"/>
    </row>
    <row r="99" spans="1:19">
      <c r="A99" s="142" t="s">
        <v>88</v>
      </c>
      <c r="B99" s="117">
        <v>2017</v>
      </c>
      <c r="C99" s="117" t="s">
        <v>182</v>
      </c>
      <c r="D99" s="1101">
        <f>G91</f>
        <v>0</v>
      </c>
      <c r="E99" s="1102"/>
      <c r="F99" s="1103"/>
      <c r="G99" s="1101">
        <f>G92</f>
        <v>0</v>
      </c>
      <c r="H99" s="1102"/>
      <c r="I99" s="1103"/>
      <c r="J99" s="1101">
        <f>G93</f>
        <v>0</v>
      </c>
      <c r="K99" s="1102"/>
      <c r="L99" s="1103"/>
      <c r="M99" s="1099"/>
      <c r="N99" s="1099"/>
      <c r="O99" s="1099"/>
      <c r="P99" s="1099"/>
      <c r="Q99" s="1099"/>
      <c r="R99" s="1099"/>
      <c r="S99" s="1099"/>
    </row>
    <row r="100" spans="1:19">
      <c r="A100" s="142" t="s">
        <v>89</v>
      </c>
      <c r="B100" s="117">
        <v>2017</v>
      </c>
      <c r="C100" s="117" t="s">
        <v>182</v>
      </c>
      <c r="D100" s="1101">
        <f>H91</f>
        <v>0</v>
      </c>
      <c r="E100" s="1102"/>
      <c r="F100" s="1103"/>
      <c r="G100" s="1101">
        <f>H92</f>
        <v>0</v>
      </c>
      <c r="H100" s="1102"/>
      <c r="I100" s="1103"/>
      <c r="J100" s="1101">
        <f>H93</f>
        <v>0</v>
      </c>
      <c r="K100" s="1102"/>
      <c r="L100" s="1103"/>
      <c r="M100" s="1099"/>
      <c r="N100" s="1099"/>
      <c r="O100" s="1099"/>
      <c r="P100" s="1099"/>
      <c r="Q100" s="1099"/>
      <c r="R100" s="1099"/>
      <c r="S100" s="1099"/>
    </row>
    <row r="101" spans="1:19">
      <c r="A101" s="142" t="s">
        <v>90</v>
      </c>
      <c r="B101" s="117">
        <v>2017</v>
      </c>
      <c r="C101" s="117" t="s">
        <v>182</v>
      </c>
      <c r="D101" s="1101">
        <f>I91</f>
        <v>0</v>
      </c>
      <c r="E101" s="1102"/>
      <c r="F101" s="1103"/>
      <c r="G101" s="1101">
        <f>I92</f>
        <v>0</v>
      </c>
      <c r="H101" s="1102"/>
      <c r="I101" s="1103"/>
      <c r="J101" s="1101">
        <f>I93</f>
        <v>208.87860763636365</v>
      </c>
      <c r="K101" s="1102"/>
      <c r="L101" s="1103"/>
      <c r="M101" s="1099"/>
      <c r="N101" s="1099"/>
      <c r="O101" s="1099"/>
      <c r="P101" s="1099"/>
      <c r="Q101" s="1099"/>
      <c r="R101" s="1099"/>
      <c r="S101" s="1099"/>
    </row>
    <row r="102" spans="1:19">
      <c r="A102" s="142" t="s">
        <v>91</v>
      </c>
      <c r="B102" s="117">
        <v>2017</v>
      </c>
      <c r="C102" s="117" t="s">
        <v>182</v>
      </c>
      <c r="D102" s="1101">
        <f>J91</f>
        <v>467.18429562</v>
      </c>
      <c r="E102" s="1102"/>
      <c r="F102" s="1103"/>
      <c r="G102" s="1101">
        <f>J92</f>
        <v>617.78344629272738</v>
      </c>
      <c r="H102" s="1102"/>
      <c r="I102" s="1103"/>
      <c r="J102" s="1101">
        <f>J93</f>
        <v>1840.5618588333332</v>
      </c>
      <c r="K102" s="1102"/>
      <c r="L102" s="1103"/>
      <c r="M102" s="1099"/>
      <c r="N102" s="1099"/>
      <c r="O102" s="1099"/>
      <c r="P102" s="1099"/>
      <c r="Q102" s="1099"/>
      <c r="R102" s="1099"/>
      <c r="S102" s="1099"/>
    </row>
    <row r="103" spans="1:19">
      <c r="A103" s="215" t="s">
        <v>95</v>
      </c>
      <c r="B103" s="117">
        <v>2017</v>
      </c>
      <c r="C103" s="117" t="s">
        <v>182</v>
      </c>
      <c r="D103" s="1101">
        <f>K91</f>
        <v>72.807942174545445</v>
      </c>
      <c r="E103" s="1102"/>
      <c r="F103" s="1103"/>
      <c r="G103" s="1101">
        <f>K92</f>
        <v>88.053207938181828</v>
      </c>
      <c r="H103" s="1102"/>
      <c r="I103" s="1103"/>
      <c r="J103" s="1101">
        <f>K93</f>
        <v>2388.6652442424243</v>
      </c>
      <c r="K103" s="1102"/>
      <c r="L103" s="1103"/>
      <c r="M103" s="1099"/>
      <c r="N103" s="1099"/>
      <c r="O103" s="1099"/>
      <c r="P103" s="1099"/>
      <c r="Q103" s="1099"/>
      <c r="R103" s="1099"/>
      <c r="S103" s="1099"/>
    </row>
    <row r="104" spans="1:19">
      <c r="A104" s="142" t="s">
        <v>878</v>
      </c>
      <c r="B104" s="117">
        <v>2017</v>
      </c>
      <c r="C104" s="117" t="s">
        <v>182</v>
      </c>
      <c r="D104" s="1101">
        <f>L91</f>
        <v>54.605956630909084</v>
      </c>
      <c r="E104" s="1102"/>
      <c r="F104" s="1103"/>
      <c r="G104" s="1101">
        <f>L92</f>
        <v>53.497956158181822</v>
      </c>
      <c r="H104" s="1102"/>
      <c r="I104" s="1103"/>
      <c r="J104" s="1101">
        <f>L93</f>
        <v>403.50709808181819</v>
      </c>
      <c r="K104" s="1102"/>
      <c r="L104" s="1103"/>
      <c r="M104" s="1099"/>
      <c r="N104" s="1099"/>
      <c r="O104" s="1099"/>
      <c r="P104" s="1099"/>
      <c r="Q104" s="1099"/>
      <c r="R104" s="1099"/>
      <c r="S104" s="1099"/>
    </row>
    <row r="106" spans="1:19" s="6" customFormat="1" ht="30" customHeight="1">
      <c r="A106" s="1100" t="s">
        <v>15</v>
      </c>
      <c r="B106" s="1100"/>
      <c r="C106" s="1100"/>
      <c r="D106" s="1100"/>
      <c r="E106" s="1100"/>
      <c r="F106" s="1100"/>
      <c r="G106" s="1100"/>
      <c r="H106" s="1100"/>
      <c r="I106" s="1100"/>
      <c r="J106" s="1100"/>
      <c r="K106" s="1100"/>
      <c r="L106" s="1100"/>
      <c r="M106" s="1100"/>
      <c r="N106" s="1100"/>
      <c r="O106" s="1100"/>
      <c r="P106" s="1100"/>
      <c r="Q106" s="1100"/>
      <c r="R106" s="1100"/>
      <c r="S106" s="1100"/>
    </row>
    <row r="107" spans="1:19">
      <c r="A107" s="1096" t="s">
        <v>915</v>
      </c>
      <c r="B107" s="1096"/>
      <c r="C107" s="1096"/>
      <c r="D107" s="1096"/>
      <c r="E107" s="1096"/>
      <c r="F107" s="1096"/>
      <c r="G107" s="1096"/>
      <c r="H107" s="1096"/>
      <c r="I107" s="1096"/>
      <c r="J107" s="1096"/>
      <c r="K107" s="1096"/>
      <c r="L107" s="1096"/>
      <c r="M107" s="1096"/>
      <c r="N107" s="1096"/>
      <c r="O107" s="1096"/>
      <c r="P107" s="1096"/>
      <c r="Q107" s="1096"/>
      <c r="R107" s="1096"/>
      <c r="S107" s="1096"/>
    </row>
    <row r="108" spans="1:19" ht="30" customHeight="1">
      <c r="A108" s="140" t="s">
        <v>129</v>
      </c>
      <c r="B108" s="1097" t="s">
        <v>130</v>
      </c>
      <c r="C108" s="1098"/>
      <c r="D108" s="140" t="s">
        <v>131</v>
      </c>
      <c r="E108" s="189" t="s">
        <v>85</v>
      </c>
      <c r="F108" s="189" t="s">
        <v>86</v>
      </c>
      <c r="G108" s="189" t="s">
        <v>87</v>
      </c>
      <c r="H108" s="189" t="s">
        <v>88</v>
      </c>
      <c r="I108" s="189" t="s">
        <v>89</v>
      </c>
      <c r="J108" s="189" t="s">
        <v>90</v>
      </c>
      <c r="K108" s="189" t="s">
        <v>91</v>
      </c>
      <c r="L108" s="189" t="s">
        <v>95</v>
      </c>
      <c r="M108" s="189" t="s">
        <v>878</v>
      </c>
      <c r="N108" s="1088" t="s">
        <v>123</v>
      </c>
      <c r="O108" s="1088"/>
      <c r="P108" s="1088"/>
      <c r="Q108" s="1088"/>
      <c r="R108" s="1088"/>
      <c r="S108" s="1088"/>
    </row>
    <row r="109" spans="1:19">
      <c r="A109" s="212" t="s">
        <v>108</v>
      </c>
      <c r="B109" s="1095" t="s">
        <v>196</v>
      </c>
      <c r="C109" s="1095"/>
      <c r="D109" s="117" t="s">
        <v>916</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090"/>
      <c r="O109" s="1090"/>
      <c r="P109" s="1090"/>
      <c r="Q109" s="1090"/>
      <c r="R109" s="1090"/>
      <c r="S109" s="1090"/>
    </row>
    <row r="110" spans="1:19">
      <c r="A110" s="212" t="s">
        <v>112</v>
      </c>
      <c r="B110" s="1095" t="s">
        <v>882</v>
      </c>
      <c r="C110" s="1095"/>
      <c r="D110" s="117" t="s">
        <v>916</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090"/>
      <c r="O110" s="1090"/>
      <c r="P110" s="1090"/>
      <c r="Q110" s="1090"/>
      <c r="R110" s="1090"/>
      <c r="S110" s="1090"/>
    </row>
    <row r="111" spans="1:19">
      <c r="A111" s="212" t="s">
        <v>112</v>
      </c>
      <c r="B111" s="1095" t="s">
        <v>336</v>
      </c>
      <c r="C111" s="1095"/>
      <c r="D111" s="117" t="s">
        <v>916</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090"/>
      <c r="O111" s="1090"/>
      <c r="P111" s="1090"/>
      <c r="Q111" s="1090"/>
      <c r="R111" s="1090"/>
      <c r="S111" s="1090"/>
    </row>
    <row r="112" spans="1:19">
      <c r="A112" s="212" t="s">
        <v>112</v>
      </c>
      <c r="B112" s="1095" t="s">
        <v>241</v>
      </c>
      <c r="C112" s="1095"/>
      <c r="D112" s="117" t="s">
        <v>916</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090"/>
      <c r="O112" s="1090"/>
      <c r="P112" s="1090"/>
      <c r="Q112" s="1090"/>
      <c r="R112" s="1090"/>
      <c r="S112" s="1090"/>
    </row>
    <row r="113" spans="1:32">
      <c r="A113" s="212" t="s">
        <v>112</v>
      </c>
      <c r="B113" s="1095" t="s">
        <v>239</v>
      </c>
      <c r="C113" s="1095"/>
      <c r="D113" s="117" t="s">
        <v>916</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090"/>
      <c r="O113" s="1090"/>
      <c r="P113" s="1090"/>
      <c r="Q113" s="1090"/>
      <c r="R113" s="1090"/>
      <c r="S113" s="1090"/>
    </row>
    <row r="114" spans="1:32">
      <c r="A114" s="212" t="s">
        <v>112</v>
      </c>
      <c r="B114" s="1095" t="s">
        <v>240</v>
      </c>
      <c r="C114" s="1095"/>
      <c r="D114" s="117" t="s">
        <v>916</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090"/>
      <c r="O114" s="1090"/>
      <c r="P114" s="1090"/>
      <c r="Q114" s="1090"/>
      <c r="R114" s="1090"/>
      <c r="S114" s="1090"/>
    </row>
    <row r="115" spans="1:32">
      <c r="A115" s="212" t="s">
        <v>112</v>
      </c>
      <c r="B115" s="1095" t="s">
        <v>191</v>
      </c>
      <c r="C115" s="1095"/>
      <c r="D115" s="117" t="s">
        <v>916</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090"/>
      <c r="O115" s="1090"/>
      <c r="P115" s="1090"/>
      <c r="Q115" s="1090"/>
      <c r="R115" s="1090"/>
      <c r="S115" s="1090"/>
    </row>
    <row r="116" spans="1:32">
      <c r="A116" s="212" t="s">
        <v>121</v>
      </c>
      <c r="B116" s="1095" t="s">
        <v>355</v>
      </c>
      <c r="C116" s="1095"/>
      <c r="D116" s="117" t="s">
        <v>916</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090"/>
      <c r="O116" s="1090"/>
      <c r="P116" s="1090"/>
      <c r="Q116" s="1090"/>
      <c r="R116" s="1090"/>
      <c r="S116" s="1090"/>
    </row>
    <row r="117" spans="1:32">
      <c r="A117" s="143" t="s">
        <v>121</v>
      </c>
      <c r="B117" s="1095" t="s">
        <v>345</v>
      </c>
      <c r="C117" s="1095"/>
      <c r="D117" s="117" t="s">
        <v>916</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090"/>
      <c r="O117" s="1090"/>
      <c r="P117" s="1090"/>
      <c r="Q117" s="1090"/>
      <c r="R117" s="1090"/>
      <c r="S117" s="1090"/>
    </row>
    <row r="118" spans="1:32">
      <c r="A118" s="143" t="s">
        <v>121</v>
      </c>
      <c r="B118" s="1095" t="s">
        <v>162</v>
      </c>
      <c r="C118" s="1095"/>
      <c r="D118" s="117" t="s">
        <v>916</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090"/>
      <c r="O118" s="1090"/>
      <c r="P118" s="1090"/>
      <c r="Q118" s="1090"/>
      <c r="R118" s="1090"/>
      <c r="S118" s="1090"/>
    </row>
    <row r="119" spans="1:32">
      <c r="A119" s="143" t="s">
        <v>121</v>
      </c>
      <c r="B119" s="1095" t="s">
        <v>347</v>
      </c>
      <c r="C119" s="1095"/>
      <c r="D119" s="117" t="s">
        <v>916</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090"/>
      <c r="O119" s="1090"/>
      <c r="P119" s="1090"/>
      <c r="Q119" s="1090"/>
      <c r="R119" s="1090"/>
      <c r="S119" s="1090"/>
    </row>
    <row r="120" spans="1:32">
      <c r="A120" s="143" t="s">
        <v>121</v>
      </c>
      <c r="B120" s="1095" t="s">
        <v>187</v>
      </c>
      <c r="C120" s="1095"/>
      <c r="D120" s="117" t="s">
        <v>916</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090"/>
      <c r="O120" s="1090"/>
      <c r="P120" s="1090"/>
      <c r="Q120" s="1090"/>
      <c r="R120" s="1090"/>
      <c r="S120" s="1090"/>
    </row>
    <row r="121" spans="1:32">
      <c r="A121" s="143" t="s">
        <v>121</v>
      </c>
      <c r="B121" s="1095" t="s">
        <v>172</v>
      </c>
      <c r="C121" s="1095"/>
      <c r="D121" s="117" t="s">
        <v>916</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090"/>
      <c r="O121" s="1090"/>
      <c r="P121" s="1090"/>
      <c r="Q121" s="1090"/>
      <c r="R121" s="1090"/>
      <c r="S121" s="1090"/>
    </row>
    <row r="122" spans="1:32">
      <c r="A122" s="143" t="s">
        <v>121</v>
      </c>
      <c r="B122" s="1095" t="s">
        <v>238</v>
      </c>
      <c r="C122" s="1095"/>
      <c r="D122" s="117" t="s">
        <v>916</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090"/>
      <c r="O122" s="1090"/>
      <c r="P122" s="1090"/>
      <c r="Q122" s="1090"/>
      <c r="R122" s="1090"/>
      <c r="S122" s="1090"/>
    </row>
    <row r="123" spans="1:32">
      <c r="A123" s="143" t="s">
        <v>121</v>
      </c>
      <c r="B123" s="1095" t="s">
        <v>359</v>
      </c>
      <c r="C123" s="1095"/>
      <c r="D123" s="117" t="s">
        <v>916</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090"/>
      <c r="O123" s="1090"/>
      <c r="P123" s="1090"/>
      <c r="Q123" s="1090"/>
      <c r="R123" s="1090"/>
      <c r="S123" s="1090"/>
      <c r="AD123" s="6"/>
      <c r="AE123" s="6"/>
      <c r="AF123" s="6"/>
    </row>
    <row r="124" spans="1:32">
      <c r="A124" s="1096" t="s">
        <v>910</v>
      </c>
      <c r="B124" s="1096"/>
      <c r="C124" s="1096"/>
      <c r="D124" s="1096"/>
      <c r="E124" s="1096"/>
      <c r="F124" s="1096"/>
      <c r="G124" s="1096"/>
      <c r="H124" s="1096"/>
      <c r="I124" s="1096"/>
      <c r="J124" s="1096"/>
      <c r="K124" s="1096"/>
      <c r="L124" s="1096"/>
      <c r="M124" s="1096"/>
      <c r="N124" s="1096"/>
      <c r="O124" s="1096"/>
      <c r="P124" s="1096"/>
      <c r="Q124" s="1096"/>
      <c r="R124" s="1096"/>
      <c r="S124" s="1096"/>
      <c r="AD124" s="6"/>
      <c r="AE124" s="6"/>
      <c r="AF124" s="6"/>
    </row>
    <row r="125" spans="1:32">
      <c r="A125" s="140" t="s">
        <v>129</v>
      </c>
      <c r="B125" s="1087" t="s">
        <v>108</v>
      </c>
      <c r="C125" s="1087"/>
      <c r="D125" s="1087" t="s">
        <v>112</v>
      </c>
      <c r="E125" s="1087"/>
      <c r="F125" s="1087" t="s">
        <v>112</v>
      </c>
      <c r="G125" s="1087"/>
      <c r="H125" s="1087" t="s">
        <v>112</v>
      </c>
      <c r="I125" s="1087"/>
      <c r="J125" s="1087" t="s">
        <v>112</v>
      </c>
      <c r="K125" s="1087"/>
      <c r="L125" s="1087" t="s">
        <v>112</v>
      </c>
      <c r="M125" s="1087"/>
      <c r="N125" s="1087" t="s">
        <v>112</v>
      </c>
      <c r="O125" s="1087"/>
      <c r="P125" s="1087" t="s">
        <v>121</v>
      </c>
      <c r="Q125" s="1087"/>
      <c r="R125" s="1087" t="s">
        <v>121</v>
      </c>
      <c r="S125" s="1087"/>
      <c r="T125" s="1093" t="s">
        <v>121</v>
      </c>
      <c r="U125" s="1094"/>
      <c r="V125" s="1093" t="s">
        <v>121</v>
      </c>
      <c r="W125" s="1094"/>
      <c r="X125" s="1093" t="s">
        <v>121</v>
      </c>
      <c r="Y125" s="1094"/>
      <c r="Z125" s="1087" t="s">
        <v>121</v>
      </c>
      <c r="AA125" s="1087"/>
      <c r="AB125" s="1087" t="s">
        <v>121</v>
      </c>
      <c r="AC125" s="1087"/>
      <c r="AD125" s="1087" t="s">
        <v>121</v>
      </c>
      <c r="AE125" s="1087"/>
    </row>
    <row r="126" spans="1:32">
      <c r="A126" s="140" t="s">
        <v>130</v>
      </c>
      <c r="B126" s="1087" t="s">
        <v>196</v>
      </c>
      <c r="C126" s="1087"/>
      <c r="D126" s="1087" t="s">
        <v>882</v>
      </c>
      <c r="E126" s="1087"/>
      <c r="F126" s="1087" t="s">
        <v>336</v>
      </c>
      <c r="G126" s="1087"/>
      <c r="H126" s="1087" t="s">
        <v>241</v>
      </c>
      <c r="I126" s="1087"/>
      <c r="J126" s="1087" t="s">
        <v>239</v>
      </c>
      <c r="K126" s="1087"/>
      <c r="L126" s="1087" t="s">
        <v>240</v>
      </c>
      <c r="M126" s="1087"/>
      <c r="N126" s="1087" t="s">
        <v>191</v>
      </c>
      <c r="O126" s="1087"/>
      <c r="P126" s="1087" t="s">
        <v>355</v>
      </c>
      <c r="Q126" s="1087"/>
      <c r="R126" s="1087" t="s">
        <v>345</v>
      </c>
      <c r="S126" s="1087"/>
      <c r="T126" s="1087" t="s">
        <v>162</v>
      </c>
      <c r="U126" s="1087"/>
      <c r="V126" s="1087" t="s">
        <v>347</v>
      </c>
      <c r="W126" s="1087"/>
      <c r="X126" s="1087" t="s">
        <v>187</v>
      </c>
      <c r="Y126" s="1087"/>
      <c r="Z126" s="1087" t="s">
        <v>172</v>
      </c>
      <c r="AA126" s="1087"/>
      <c r="AB126" s="1087" t="s">
        <v>238</v>
      </c>
      <c r="AC126" s="1087"/>
      <c r="AD126" s="1087" t="s">
        <v>359</v>
      </c>
      <c r="AE126" s="1087"/>
    </row>
    <row r="127" spans="1:32">
      <c r="A127" s="215" t="s">
        <v>85</v>
      </c>
      <c r="B127" s="1089">
        <f>E109</f>
        <v>0</v>
      </c>
      <c r="C127" s="1089"/>
      <c r="D127" s="1089">
        <f>E110</f>
        <v>0</v>
      </c>
      <c r="E127" s="1089"/>
      <c r="F127" s="1089">
        <f>E111</f>
        <v>0</v>
      </c>
      <c r="G127" s="1089"/>
      <c r="H127" s="1089">
        <f>E112</f>
        <v>0</v>
      </c>
      <c r="I127" s="1089"/>
      <c r="J127" s="1089">
        <f>E113</f>
        <v>0</v>
      </c>
      <c r="K127" s="1089"/>
      <c r="L127" s="1089">
        <f>E114</f>
        <v>0</v>
      </c>
      <c r="M127" s="1089"/>
      <c r="N127" s="1089">
        <f>E115</f>
        <v>0</v>
      </c>
      <c r="O127" s="1089"/>
      <c r="P127" s="1089">
        <f>E116</f>
        <v>0</v>
      </c>
      <c r="Q127" s="1089"/>
      <c r="R127" s="1089">
        <f>E117</f>
        <v>0</v>
      </c>
      <c r="S127" s="1089"/>
      <c r="T127" s="1089">
        <f>E118</f>
        <v>0</v>
      </c>
      <c r="U127" s="1089"/>
      <c r="V127" s="1089">
        <f>E119</f>
        <v>0</v>
      </c>
      <c r="W127" s="1089"/>
      <c r="X127" s="1089">
        <f>E120</f>
        <v>0</v>
      </c>
      <c r="Y127" s="1089"/>
      <c r="Z127" s="1089">
        <f>E121</f>
        <v>0</v>
      </c>
      <c r="AA127" s="1089"/>
      <c r="AB127" s="1089">
        <f>E122</f>
        <v>0</v>
      </c>
      <c r="AC127" s="1089"/>
      <c r="AD127" s="1089">
        <f>E123</f>
        <v>0</v>
      </c>
      <c r="AE127" s="1089"/>
    </row>
    <row r="128" spans="1:32">
      <c r="A128" s="215" t="s">
        <v>86</v>
      </c>
      <c r="B128" s="1089">
        <f>F109</f>
        <v>1</v>
      </c>
      <c r="C128" s="1089"/>
      <c r="D128" s="1089">
        <f>F110</f>
        <v>0</v>
      </c>
      <c r="E128" s="1089"/>
      <c r="F128" s="1089">
        <f>F111</f>
        <v>0.39167899730176692</v>
      </c>
      <c r="G128" s="1089"/>
      <c r="H128" s="1089">
        <f>F112</f>
        <v>8.3833048545290459E-2</v>
      </c>
      <c r="I128" s="1089"/>
      <c r="J128" s="1089">
        <f>F113</f>
        <v>0</v>
      </c>
      <c r="K128" s="1089"/>
      <c r="L128" s="1089">
        <f>F114</f>
        <v>0.48467412765528584</v>
      </c>
      <c r="M128" s="1089"/>
      <c r="N128" s="1089">
        <f>F115</f>
        <v>3.9813826497656801E-2</v>
      </c>
      <c r="O128" s="1089"/>
      <c r="P128" s="1089">
        <f>F116</f>
        <v>0</v>
      </c>
      <c r="Q128" s="1089"/>
      <c r="R128" s="1089">
        <f>F117</f>
        <v>0</v>
      </c>
      <c r="S128" s="1089"/>
      <c r="T128" s="1089">
        <f>F118</f>
        <v>0</v>
      </c>
      <c r="U128" s="1089"/>
      <c r="V128" s="1089">
        <f>F119</f>
        <v>0</v>
      </c>
      <c r="W128" s="1089"/>
      <c r="X128" s="1089">
        <f>F120</f>
        <v>1</v>
      </c>
      <c r="Y128" s="1089"/>
      <c r="Z128" s="1089">
        <f>F121</f>
        <v>0</v>
      </c>
      <c r="AA128" s="1089"/>
      <c r="AB128" s="1089">
        <f>F122</f>
        <v>0</v>
      </c>
      <c r="AC128" s="1089"/>
      <c r="AD128" s="1089">
        <f>F123</f>
        <v>0</v>
      </c>
      <c r="AE128" s="1089"/>
    </row>
    <row r="129" spans="1:31">
      <c r="A129" s="215" t="s">
        <v>87</v>
      </c>
      <c r="B129" s="1089">
        <f>G109</f>
        <v>1</v>
      </c>
      <c r="C129" s="1089"/>
      <c r="D129" s="1089">
        <f>G110</f>
        <v>0</v>
      </c>
      <c r="E129" s="1089"/>
      <c r="F129" s="1089">
        <f>G111</f>
        <v>0</v>
      </c>
      <c r="G129" s="1089"/>
      <c r="H129" s="1089">
        <f>G112</f>
        <v>0</v>
      </c>
      <c r="I129" s="1089"/>
      <c r="J129" s="1089">
        <f>G113</f>
        <v>9.7010040144805229E-2</v>
      </c>
      <c r="K129" s="1089"/>
      <c r="L129" s="1089">
        <f>G114</f>
        <v>0.8344440851479995</v>
      </c>
      <c r="M129" s="1089"/>
      <c r="N129" s="1089">
        <f>G115</f>
        <v>6.8545874707195309E-2</v>
      </c>
      <c r="O129" s="1089"/>
      <c r="P129" s="1089">
        <f>G116</f>
        <v>0.23131990255872262</v>
      </c>
      <c r="Q129" s="1089"/>
      <c r="R129" s="1089">
        <f>G117</f>
        <v>0.15197638649335868</v>
      </c>
      <c r="S129" s="1089"/>
      <c r="T129" s="1089">
        <f>G118</f>
        <v>0.14328135279788046</v>
      </c>
      <c r="U129" s="1089"/>
      <c r="V129" s="1089">
        <f>G119</f>
        <v>0.16934867262931416</v>
      </c>
      <c r="W129" s="1089"/>
      <c r="X129" s="1089">
        <f>G120</f>
        <v>0.11189388147015418</v>
      </c>
      <c r="Y129" s="1089"/>
      <c r="Z129" s="1089">
        <f>G121</f>
        <v>5.3557140062945638E-2</v>
      </c>
      <c r="AA129" s="1089"/>
      <c r="AB129" s="1091">
        <f>G122</f>
        <v>0.13862266398762429</v>
      </c>
      <c r="AC129" s="1092"/>
      <c r="AD129" s="1091">
        <f>G123</f>
        <v>0</v>
      </c>
      <c r="AE129" s="1092"/>
    </row>
    <row r="130" spans="1:31">
      <c r="A130" s="215" t="s">
        <v>88</v>
      </c>
      <c r="B130" s="1089">
        <f>H109</f>
        <v>0</v>
      </c>
      <c r="C130" s="1089"/>
      <c r="D130" s="1089">
        <f>H110</f>
        <v>0</v>
      </c>
      <c r="E130" s="1089"/>
      <c r="F130" s="1089">
        <f>H111</f>
        <v>0</v>
      </c>
      <c r="G130" s="1089"/>
      <c r="H130" s="1089">
        <f>H112</f>
        <v>0</v>
      </c>
      <c r="I130" s="1089"/>
      <c r="J130" s="1089">
        <f>H113</f>
        <v>0</v>
      </c>
      <c r="K130" s="1089"/>
      <c r="L130" s="1089">
        <f>H114</f>
        <v>0</v>
      </c>
      <c r="M130" s="1089"/>
      <c r="N130" s="1089">
        <f>H115</f>
        <v>0</v>
      </c>
      <c r="O130" s="1089"/>
      <c r="P130" s="1089">
        <f>H116</f>
        <v>0</v>
      </c>
      <c r="Q130" s="1089"/>
      <c r="R130" s="1089">
        <f>H117</f>
        <v>0</v>
      </c>
      <c r="S130" s="1089"/>
      <c r="T130" s="1089">
        <f>H118</f>
        <v>0</v>
      </c>
      <c r="U130" s="1089"/>
      <c r="V130" s="1089">
        <f>H119</f>
        <v>0</v>
      </c>
      <c r="W130" s="1089"/>
      <c r="X130" s="1089">
        <f>H120</f>
        <v>0</v>
      </c>
      <c r="Y130" s="1089"/>
      <c r="Z130" s="1089">
        <f>H121</f>
        <v>0</v>
      </c>
      <c r="AA130" s="1089"/>
      <c r="AB130" s="1089">
        <f>H122</f>
        <v>0</v>
      </c>
      <c r="AC130" s="1089"/>
      <c r="AD130" s="1089">
        <f>H123</f>
        <v>0</v>
      </c>
      <c r="AE130" s="1089"/>
    </row>
    <row r="131" spans="1:31">
      <c r="A131" s="215" t="s">
        <v>89</v>
      </c>
      <c r="B131" s="1089">
        <f>I109</f>
        <v>0</v>
      </c>
      <c r="C131" s="1089"/>
      <c r="D131" s="1089">
        <f>I110</f>
        <v>0</v>
      </c>
      <c r="E131" s="1089"/>
      <c r="F131" s="1089">
        <f>I111</f>
        <v>0</v>
      </c>
      <c r="G131" s="1089"/>
      <c r="H131" s="1089">
        <f>I112</f>
        <v>0</v>
      </c>
      <c r="I131" s="1089"/>
      <c r="J131" s="1089">
        <f>I113</f>
        <v>0</v>
      </c>
      <c r="K131" s="1089"/>
      <c r="L131" s="1089">
        <f>I114</f>
        <v>0</v>
      </c>
      <c r="M131" s="1089"/>
      <c r="N131" s="1089">
        <f>I115</f>
        <v>0</v>
      </c>
      <c r="O131" s="1089"/>
      <c r="P131" s="1089">
        <f>I116</f>
        <v>0</v>
      </c>
      <c r="Q131" s="1089"/>
      <c r="R131" s="1089">
        <f>I117</f>
        <v>0</v>
      </c>
      <c r="S131" s="1089"/>
      <c r="T131" s="1089">
        <f>I118</f>
        <v>0</v>
      </c>
      <c r="U131" s="1089"/>
      <c r="V131" s="1089">
        <f>I119</f>
        <v>0</v>
      </c>
      <c r="W131" s="1089"/>
      <c r="X131" s="1089">
        <f>I120</f>
        <v>0</v>
      </c>
      <c r="Y131" s="1089"/>
      <c r="Z131" s="1089">
        <f>I121</f>
        <v>0</v>
      </c>
      <c r="AA131" s="1089"/>
      <c r="AB131" s="1089">
        <f>I122</f>
        <v>0</v>
      </c>
      <c r="AC131" s="1089"/>
      <c r="AD131" s="1089">
        <f>I123</f>
        <v>0</v>
      </c>
      <c r="AE131" s="1089"/>
    </row>
    <row r="132" spans="1:31">
      <c r="A132" s="215" t="s">
        <v>90</v>
      </c>
      <c r="B132" s="1089">
        <f>J109</f>
        <v>0</v>
      </c>
      <c r="C132" s="1089"/>
      <c r="D132" s="1089">
        <f>J110</f>
        <v>0</v>
      </c>
      <c r="E132" s="1089"/>
      <c r="F132" s="1089">
        <f>J111</f>
        <v>0</v>
      </c>
      <c r="G132" s="1089"/>
      <c r="H132" s="1089">
        <f>J112</f>
        <v>0</v>
      </c>
      <c r="I132" s="1089"/>
      <c r="J132" s="1089">
        <f>J113</f>
        <v>0</v>
      </c>
      <c r="K132" s="1089"/>
      <c r="L132" s="1089">
        <f>J114</f>
        <v>0</v>
      </c>
      <c r="M132" s="1089"/>
      <c r="N132" s="1089">
        <f>J115</f>
        <v>0</v>
      </c>
      <c r="O132" s="1089"/>
      <c r="P132" s="1089">
        <f>J116</f>
        <v>0</v>
      </c>
      <c r="Q132" s="1089"/>
      <c r="R132" s="1089">
        <f>J117</f>
        <v>0</v>
      </c>
      <c r="S132" s="1089"/>
      <c r="T132" s="1089">
        <f>J118</f>
        <v>0</v>
      </c>
      <c r="U132" s="1089"/>
      <c r="V132" s="1089">
        <f>J119</f>
        <v>0</v>
      </c>
      <c r="W132" s="1089"/>
      <c r="X132" s="1089">
        <f>J120</f>
        <v>0</v>
      </c>
      <c r="Y132" s="1089"/>
      <c r="Z132" s="1089">
        <f>J121</f>
        <v>0</v>
      </c>
      <c r="AA132" s="1089"/>
      <c r="AB132" s="1089">
        <f>J122</f>
        <v>0</v>
      </c>
      <c r="AC132" s="1089"/>
      <c r="AD132" s="1089">
        <f>J123</f>
        <v>1</v>
      </c>
      <c r="AE132" s="1089"/>
    </row>
    <row r="133" spans="1:31">
      <c r="A133" s="215" t="s">
        <v>91</v>
      </c>
      <c r="B133" s="1089">
        <f>K109</f>
        <v>1</v>
      </c>
      <c r="C133" s="1089"/>
      <c r="D133" s="1089">
        <f>K110</f>
        <v>2.7068708019976597E-2</v>
      </c>
      <c r="E133" s="1089"/>
      <c r="F133" s="1089">
        <f>K111</f>
        <v>9.4657445223231051E-2</v>
      </c>
      <c r="G133" s="1089"/>
      <c r="H133" s="1089">
        <f>K112</f>
        <v>2.0260014591638925E-2</v>
      </c>
      <c r="I133" s="1089"/>
      <c r="J133" s="1089">
        <f>K113</f>
        <v>0</v>
      </c>
      <c r="K133" s="1089"/>
      <c r="L133" s="1089">
        <f>K114</f>
        <v>0.11713166905985782</v>
      </c>
      <c r="M133" s="1089"/>
      <c r="N133" s="1089">
        <f>K115</f>
        <v>0.74088216310529564</v>
      </c>
      <c r="O133" s="1089"/>
      <c r="P133" s="1089">
        <f>K116</f>
        <v>0.30372334961384378</v>
      </c>
      <c r="Q133" s="1089"/>
      <c r="R133" s="1089">
        <f>K117</f>
        <v>0.15963616327826599</v>
      </c>
      <c r="S133" s="1089"/>
      <c r="T133" s="1089">
        <f>K118</f>
        <v>0.15050289033535363</v>
      </c>
      <c r="U133" s="1089"/>
      <c r="V133" s="1089">
        <f>K119</f>
        <v>0.17788403171430972</v>
      </c>
      <c r="W133" s="1089"/>
      <c r="X133" s="1089">
        <f>K120</f>
        <v>6.387687825104362E-3</v>
      </c>
      <c r="Y133" s="1089"/>
      <c r="Z133" s="1089">
        <f>K121</f>
        <v>5.6256478740392787E-2</v>
      </c>
      <c r="AA133" s="1089"/>
      <c r="AB133" s="1089">
        <f>K122</f>
        <v>0.14560939849272989</v>
      </c>
      <c r="AC133" s="1089"/>
      <c r="AD133" s="1089">
        <f>K123</f>
        <v>0</v>
      </c>
      <c r="AE133" s="1089"/>
    </row>
    <row r="134" spans="1:31">
      <c r="A134" s="215" t="s">
        <v>95</v>
      </c>
      <c r="B134" s="1089">
        <f>L109</f>
        <v>1</v>
      </c>
      <c r="C134" s="1089"/>
      <c r="D134" s="1089">
        <f>L110</f>
        <v>0.18991471314722469</v>
      </c>
      <c r="E134" s="1089"/>
      <c r="F134" s="1089">
        <f>L111</f>
        <v>0</v>
      </c>
      <c r="G134" s="1089"/>
      <c r="H134" s="1089">
        <f>L112</f>
        <v>0</v>
      </c>
      <c r="I134" s="1089"/>
      <c r="J134" s="1089">
        <f>L113</f>
        <v>0</v>
      </c>
      <c r="K134" s="1089"/>
      <c r="L134" s="1089">
        <f>L114</f>
        <v>0</v>
      </c>
      <c r="M134" s="1089"/>
      <c r="N134" s="1089">
        <f>L115</f>
        <v>0.81008528685277537</v>
      </c>
      <c r="O134" s="1089"/>
      <c r="P134" s="1089">
        <f>L116</f>
        <v>0.46776568999142792</v>
      </c>
      <c r="Q134" s="1089"/>
      <c r="R134" s="1089">
        <f>L117</f>
        <v>0.12292818474177457</v>
      </c>
      <c r="S134" s="1089"/>
      <c r="T134" s="1089">
        <f>L118</f>
        <v>0.11589508747504616</v>
      </c>
      <c r="U134" s="1089"/>
      <c r="V134" s="1089">
        <f>L119</f>
        <v>0.13697999666323399</v>
      </c>
      <c r="W134" s="1089"/>
      <c r="X134" s="1089">
        <f>L120</f>
        <v>9.8377066062213417E-4</v>
      </c>
      <c r="Y134" s="1089"/>
      <c r="Z134" s="1089">
        <f>L121</f>
        <v>4.3320427336167665E-2</v>
      </c>
      <c r="AA134" s="1089"/>
      <c r="AB134" s="1089">
        <f>L122</f>
        <v>0.11212684313172752</v>
      </c>
      <c r="AC134" s="1089"/>
      <c r="AD134" s="1089">
        <f>L123</f>
        <v>0</v>
      </c>
      <c r="AE134" s="1089"/>
    </row>
    <row r="135" spans="1:31">
      <c r="A135" s="215" t="s">
        <v>878</v>
      </c>
      <c r="B135" s="1089">
        <f>M109</f>
        <v>1</v>
      </c>
      <c r="C135" s="1089"/>
      <c r="D135" s="1089">
        <f>M110</f>
        <v>0</v>
      </c>
      <c r="E135" s="1089"/>
      <c r="F135" s="1089">
        <f>M111</f>
        <v>0</v>
      </c>
      <c r="G135" s="1089"/>
      <c r="H135" s="1089">
        <f>M112</f>
        <v>0</v>
      </c>
      <c r="I135" s="1089"/>
      <c r="J135" s="1089">
        <f>M113</f>
        <v>0</v>
      </c>
      <c r="K135" s="1089"/>
      <c r="L135" s="1089">
        <f>M114</f>
        <v>0</v>
      </c>
      <c r="M135" s="1089"/>
      <c r="N135" s="1089">
        <f>M115</f>
        <v>1</v>
      </c>
      <c r="O135" s="1089"/>
      <c r="P135" s="1089">
        <f>M116</f>
        <v>0.27563499529633112</v>
      </c>
      <c r="Q135" s="1089"/>
      <c r="R135" s="1089">
        <f>M117</f>
        <v>0.72436500470366871</v>
      </c>
      <c r="S135" s="1089"/>
      <c r="T135" s="1089">
        <f>M118</f>
        <v>0</v>
      </c>
      <c r="U135" s="1089"/>
      <c r="V135" s="1089">
        <f>M119</f>
        <v>0</v>
      </c>
      <c r="W135" s="1089"/>
      <c r="X135" s="1089">
        <f>M120</f>
        <v>0</v>
      </c>
      <c r="Y135" s="1089"/>
      <c r="Z135" s="1089">
        <f>M121</f>
        <v>0</v>
      </c>
      <c r="AA135" s="1089"/>
      <c r="AB135" s="1089">
        <f>M122</f>
        <v>0</v>
      </c>
      <c r="AC135" s="1089"/>
      <c r="AD135" s="1089">
        <f>M123</f>
        <v>0</v>
      </c>
      <c r="AE135" s="1089"/>
    </row>
    <row r="136" spans="1:31">
      <c r="A136" s="64"/>
      <c r="B136" s="64"/>
      <c r="C136" s="64"/>
      <c r="D136" s="64"/>
      <c r="E136" s="246"/>
      <c r="F136" s="64"/>
      <c r="G136" s="64"/>
      <c r="H136" s="64"/>
      <c r="I136" s="64"/>
      <c r="J136" s="64"/>
      <c r="K136" s="64"/>
      <c r="L136" s="64"/>
      <c r="M136" s="64"/>
      <c r="N136" s="106"/>
    </row>
    <row r="137" spans="1:31" ht="60" customHeight="1">
      <c r="A137" s="140" t="s">
        <v>129</v>
      </c>
      <c r="B137" s="1088" t="s">
        <v>130</v>
      </c>
      <c r="C137" s="1088"/>
      <c r="D137" s="140" t="s">
        <v>131</v>
      </c>
      <c r="E137" s="244" t="s">
        <v>917</v>
      </c>
      <c r="F137" s="243" t="s">
        <v>102</v>
      </c>
      <c r="G137" s="243" t="s">
        <v>133</v>
      </c>
      <c r="H137" s="1093" t="s">
        <v>104</v>
      </c>
      <c r="I137" s="1094"/>
      <c r="J137" s="1087" t="s">
        <v>123</v>
      </c>
      <c r="K137" s="1087"/>
      <c r="L137" s="1087"/>
      <c r="M137" s="1087"/>
      <c r="N137" s="1087"/>
      <c r="O137" s="1087"/>
      <c r="P137" s="1087"/>
      <c r="Q137" s="1087"/>
      <c r="R137" s="1087"/>
      <c r="S137" s="1087"/>
    </row>
    <row r="138" spans="1:31" s="988" customFormat="1">
      <c r="A138" s="984" t="s">
        <v>196</v>
      </c>
      <c r="B138" s="1084" t="s">
        <v>918</v>
      </c>
      <c r="C138" s="1084"/>
      <c r="D138" s="984" t="s">
        <v>139</v>
      </c>
      <c r="E138" s="985">
        <v>3.6999999999999999E-4</v>
      </c>
      <c r="F138" s="984" t="s">
        <v>139</v>
      </c>
      <c r="G138" s="986">
        <v>1</v>
      </c>
      <c r="H138" s="1078" t="s">
        <v>163</v>
      </c>
      <c r="I138" s="1079"/>
      <c r="J138" s="1084" t="s">
        <v>919</v>
      </c>
      <c r="K138" s="1084"/>
      <c r="L138" s="1084"/>
      <c r="M138" s="1084"/>
      <c r="N138" s="1084"/>
      <c r="O138" s="1084"/>
      <c r="P138" s="1084"/>
      <c r="Q138" s="1084"/>
      <c r="R138" s="1084"/>
      <c r="S138" s="1084"/>
      <c r="T138" s="987"/>
      <c r="U138" s="987"/>
      <c r="V138" s="987"/>
      <c r="W138" s="987"/>
      <c r="X138" s="987"/>
      <c r="Y138" s="987"/>
      <c r="Z138" s="987"/>
      <c r="AA138" s="987"/>
      <c r="AB138" s="987"/>
      <c r="AC138" s="987"/>
    </row>
    <row r="139" spans="1:31" s="988" customFormat="1">
      <c r="A139" s="984" t="s">
        <v>196</v>
      </c>
      <c r="B139" s="1084" t="s">
        <v>918</v>
      </c>
      <c r="C139" s="1084"/>
      <c r="D139" s="984" t="s">
        <v>139</v>
      </c>
      <c r="E139" s="985">
        <v>8.0000000000000002E-3</v>
      </c>
      <c r="F139" s="984" t="s">
        <v>139</v>
      </c>
      <c r="G139" s="986">
        <v>1</v>
      </c>
      <c r="H139" s="1078" t="s">
        <v>163</v>
      </c>
      <c r="I139" s="1079"/>
      <c r="J139" s="1084" t="s">
        <v>920</v>
      </c>
      <c r="K139" s="1084"/>
      <c r="L139" s="1084"/>
      <c r="M139" s="1084"/>
      <c r="N139" s="1084"/>
      <c r="O139" s="1084"/>
      <c r="P139" s="1084"/>
      <c r="Q139" s="1084"/>
      <c r="R139" s="1084"/>
      <c r="S139" s="1084"/>
      <c r="T139" s="987"/>
      <c r="U139" s="987"/>
      <c r="V139" s="987"/>
      <c r="W139" s="987"/>
      <c r="X139" s="987"/>
      <c r="Y139" s="987"/>
      <c r="Z139" s="987"/>
      <c r="AA139" s="987"/>
      <c r="AB139" s="987"/>
      <c r="AC139" s="987"/>
    </row>
    <row r="140" spans="1:31" s="988" customFormat="1">
      <c r="A140" s="984" t="s">
        <v>196</v>
      </c>
      <c r="B140" s="1084" t="s">
        <v>918</v>
      </c>
      <c r="C140" s="1084"/>
      <c r="D140" s="984" t="s">
        <v>139</v>
      </c>
      <c r="E140" s="985">
        <v>2.5100000000000001E-3</v>
      </c>
      <c r="F140" s="984" t="s">
        <v>139</v>
      </c>
      <c r="G140" s="986">
        <v>1</v>
      </c>
      <c r="H140" s="1078" t="s">
        <v>163</v>
      </c>
      <c r="I140" s="1079"/>
      <c r="J140" s="1084" t="s">
        <v>921</v>
      </c>
      <c r="K140" s="1084"/>
      <c r="L140" s="1084"/>
      <c r="M140" s="1084"/>
      <c r="N140" s="1084"/>
      <c r="O140" s="1084"/>
      <c r="P140" s="1084"/>
      <c r="Q140" s="1084"/>
      <c r="R140" s="1084"/>
      <c r="S140" s="1084"/>
      <c r="T140" s="987"/>
      <c r="U140" s="987"/>
      <c r="V140" s="987"/>
      <c r="W140" s="987"/>
      <c r="X140" s="987"/>
      <c r="Y140" s="987"/>
      <c r="Z140" s="987"/>
      <c r="AA140" s="987"/>
      <c r="AB140" s="987"/>
      <c r="AC140" s="987"/>
    </row>
    <row r="141" spans="1:31" s="988" customFormat="1">
      <c r="A141" s="984" t="s">
        <v>196</v>
      </c>
      <c r="B141" s="1084" t="s">
        <v>231</v>
      </c>
      <c r="C141" s="1084"/>
      <c r="D141" s="984" t="s">
        <v>139</v>
      </c>
      <c r="E141" s="985">
        <v>3.0000000000000001E-5</v>
      </c>
      <c r="F141" s="984" t="s">
        <v>139</v>
      </c>
      <c r="G141" s="986">
        <v>1</v>
      </c>
      <c r="H141" s="1078" t="s">
        <v>163</v>
      </c>
      <c r="I141" s="1079"/>
      <c r="J141" s="1084" t="s">
        <v>922</v>
      </c>
      <c r="K141" s="1084"/>
      <c r="L141" s="1084"/>
      <c r="M141" s="1084"/>
      <c r="N141" s="1084"/>
      <c r="O141" s="1084"/>
      <c r="P141" s="1084"/>
      <c r="Q141" s="1084"/>
      <c r="R141" s="1084"/>
      <c r="S141" s="1084"/>
      <c r="T141" s="987"/>
      <c r="U141" s="987"/>
      <c r="V141" s="987"/>
      <c r="W141" s="987"/>
      <c r="X141" s="987"/>
      <c r="Y141" s="987"/>
      <c r="Z141" s="987"/>
      <c r="AA141" s="987"/>
      <c r="AB141" s="987"/>
      <c r="AC141" s="987"/>
    </row>
    <row r="142" spans="1:31" s="988" customFormat="1">
      <c r="A142" s="984" t="s">
        <v>196</v>
      </c>
      <c r="B142" s="1084" t="s">
        <v>231</v>
      </c>
      <c r="C142" s="1084"/>
      <c r="D142" s="984" t="s">
        <v>139</v>
      </c>
      <c r="E142" s="985">
        <v>5.9999999999999995E-4</v>
      </c>
      <c r="F142" s="984" t="s">
        <v>139</v>
      </c>
      <c r="G142" s="986">
        <v>1</v>
      </c>
      <c r="H142" s="1078" t="s">
        <v>163</v>
      </c>
      <c r="I142" s="1079"/>
      <c r="J142" s="1084" t="s">
        <v>923</v>
      </c>
      <c r="K142" s="1084"/>
      <c r="L142" s="1084"/>
      <c r="M142" s="1084"/>
      <c r="N142" s="1084"/>
      <c r="O142" s="1084"/>
      <c r="P142" s="1084"/>
      <c r="Q142" s="1084"/>
      <c r="R142" s="1084"/>
      <c r="S142" s="1084"/>
      <c r="T142" s="987"/>
      <c r="U142" s="987"/>
      <c r="V142" s="987"/>
      <c r="W142" s="987"/>
      <c r="X142" s="987"/>
      <c r="Y142" s="987"/>
      <c r="Z142" s="987"/>
      <c r="AA142" s="987"/>
      <c r="AB142" s="987"/>
      <c r="AC142" s="987"/>
    </row>
    <row r="143" spans="1:31" s="988" customFormat="1">
      <c r="A143" s="984" t="s">
        <v>196</v>
      </c>
      <c r="B143" s="1084" t="s">
        <v>231</v>
      </c>
      <c r="C143" s="1084"/>
      <c r="D143" s="984" t="s">
        <v>139</v>
      </c>
      <c r="E143" s="985">
        <v>1.9000000000000001E-4</v>
      </c>
      <c r="F143" s="984" t="s">
        <v>139</v>
      </c>
      <c r="G143" s="986">
        <v>1</v>
      </c>
      <c r="H143" s="1078" t="s">
        <v>163</v>
      </c>
      <c r="I143" s="1079"/>
      <c r="J143" s="1084" t="s">
        <v>924</v>
      </c>
      <c r="K143" s="1084"/>
      <c r="L143" s="1084"/>
      <c r="M143" s="1084"/>
      <c r="N143" s="1084"/>
      <c r="O143" s="1084"/>
      <c r="P143" s="1084"/>
      <c r="Q143" s="1084"/>
      <c r="R143" s="1084"/>
      <c r="S143" s="1084"/>
      <c r="T143" s="987"/>
      <c r="U143" s="987"/>
      <c r="V143" s="987"/>
      <c r="W143" s="987"/>
      <c r="X143" s="987"/>
      <c r="Y143" s="987"/>
      <c r="Z143" s="987"/>
      <c r="AA143" s="987"/>
      <c r="AB143" s="987"/>
      <c r="AC143" s="987"/>
    </row>
    <row r="144" spans="1:31" s="988" customFormat="1">
      <c r="A144" s="984" t="s">
        <v>196</v>
      </c>
      <c r="B144" s="1084" t="s">
        <v>232</v>
      </c>
      <c r="C144" s="1084"/>
      <c r="D144" s="984" t="s">
        <v>139</v>
      </c>
      <c r="E144" s="985">
        <v>1.7569999999999999E-2</v>
      </c>
      <c r="F144" s="984" t="s">
        <v>139</v>
      </c>
      <c r="G144" s="986">
        <v>1</v>
      </c>
      <c r="H144" s="1078" t="s">
        <v>168</v>
      </c>
      <c r="I144" s="1079"/>
      <c r="J144" s="1084" t="s">
        <v>925</v>
      </c>
      <c r="K144" s="1084"/>
      <c r="L144" s="1084"/>
      <c r="M144" s="1084"/>
      <c r="N144" s="1084"/>
      <c r="O144" s="1084"/>
      <c r="P144" s="1084"/>
      <c r="Q144" s="1084"/>
      <c r="R144" s="1084"/>
      <c r="S144" s="1084"/>
      <c r="T144" s="987"/>
      <c r="U144" s="987"/>
      <c r="V144" s="987"/>
      <c r="W144" s="987"/>
      <c r="X144" s="987"/>
      <c r="Y144" s="987"/>
      <c r="Z144" s="987"/>
      <c r="AA144" s="987"/>
      <c r="AB144" s="987"/>
      <c r="AC144" s="987"/>
    </row>
    <row r="145" spans="1:29" s="988" customFormat="1">
      <c r="A145" s="984" t="s">
        <v>196</v>
      </c>
      <c r="B145" s="1084" t="s">
        <v>194</v>
      </c>
      <c r="C145" s="1084"/>
      <c r="D145" s="984" t="s">
        <v>139</v>
      </c>
      <c r="E145" s="985" t="s">
        <v>150</v>
      </c>
      <c r="F145" s="984" t="s">
        <v>139</v>
      </c>
      <c r="G145" s="986">
        <v>1</v>
      </c>
      <c r="H145" s="1078" t="s">
        <v>168</v>
      </c>
      <c r="I145" s="1079"/>
      <c r="J145" s="1084" t="s">
        <v>926</v>
      </c>
      <c r="K145" s="1084"/>
      <c r="L145" s="1084"/>
      <c r="M145" s="1084"/>
      <c r="N145" s="1084"/>
      <c r="O145" s="1084"/>
      <c r="P145" s="1084"/>
      <c r="Q145" s="1084"/>
      <c r="R145" s="1084"/>
      <c r="S145" s="1084"/>
      <c r="T145" s="987"/>
      <c r="U145" s="987"/>
      <c r="V145" s="987"/>
      <c r="W145" s="987"/>
      <c r="X145" s="987"/>
      <c r="Y145" s="987"/>
      <c r="Z145" s="987"/>
      <c r="AA145" s="987"/>
      <c r="AB145" s="987"/>
      <c r="AC145" s="987"/>
    </row>
    <row r="146" spans="1:29" s="988" customFormat="1">
      <c r="A146" s="984" t="s">
        <v>194</v>
      </c>
      <c r="B146" s="1084" t="s">
        <v>204</v>
      </c>
      <c r="C146" s="1084"/>
      <c r="D146" s="984" t="s">
        <v>139</v>
      </c>
      <c r="E146" s="985">
        <v>2.7E-4</v>
      </c>
      <c r="F146" s="984" t="s">
        <v>139</v>
      </c>
      <c r="G146" s="986">
        <v>2</v>
      </c>
      <c r="H146" s="1078" t="s">
        <v>163</v>
      </c>
      <c r="I146" s="1079"/>
      <c r="J146" s="1084"/>
      <c r="K146" s="1084"/>
      <c r="L146" s="1084"/>
      <c r="M146" s="1084"/>
      <c r="N146" s="1084"/>
      <c r="O146" s="1084"/>
      <c r="P146" s="1084"/>
      <c r="Q146" s="1084"/>
      <c r="R146" s="1084"/>
      <c r="S146" s="1084"/>
      <c r="T146" s="987"/>
      <c r="U146" s="987"/>
      <c r="V146" s="987"/>
      <c r="W146" s="987"/>
      <c r="X146" s="987"/>
      <c r="Y146" s="987"/>
      <c r="Z146" s="987"/>
      <c r="AA146" s="987"/>
      <c r="AB146" s="987"/>
      <c r="AC146" s="987"/>
    </row>
    <row r="147" spans="1:29" s="988" customFormat="1">
      <c r="A147" s="984" t="s">
        <v>194</v>
      </c>
      <c r="B147" s="1084" t="s">
        <v>223</v>
      </c>
      <c r="C147" s="1084"/>
      <c r="D147" s="984" t="s">
        <v>139</v>
      </c>
      <c r="E147" s="985">
        <v>0.55385041999999995</v>
      </c>
      <c r="F147" s="984" t="s">
        <v>139</v>
      </c>
      <c r="G147" s="986">
        <v>1</v>
      </c>
      <c r="H147" s="1078" t="s">
        <v>224</v>
      </c>
      <c r="I147" s="1079"/>
      <c r="J147" s="1084" t="s">
        <v>927</v>
      </c>
      <c r="K147" s="1084"/>
      <c r="L147" s="1084"/>
      <c r="M147" s="1084"/>
      <c r="N147" s="1084"/>
      <c r="O147" s="1084"/>
      <c r="P147" s="1084"/>
      <c r="Q147" s="1084"/>
      <c r="R147" s="1084"/>
      <c r="S147" s="1084"/>
      <c r="T147" s="987"/>
      <c r="U147" s="987"/>
      <c r="V147" s="987"/>
      <c r="W147" s="987"/>
      <c r="X147" s="987"/>
      <c r="Y147" s="987"/>
      <c r="Z147" s="987"/>
      <c r="AA147" s="987"/>
      <c r="AB147" s="987"/>
      <c r="AC147" s="987"/>
    </row>
    <row r="148" spans="1:29" s="988" customFormat="1">
      <c r="A148" s="984" t="s">
        <v>194</v>
      </c>
      <c r="B148" s="1084" t="s">
        <v>225</v>
      </c>
      <c r="C148" s="1084"/>
      <c r="D148" s="984" t="s">
        <v>139</v>
      </c>
      <c r="E148" s="985">
        <v>0.44587958</v>
      </c>
      <c r="F148" s="984" t="s">
        <v>139</v>
      </c>
      <c r="G148" s="986">
        <v>1</v>
      </c>
      <c r="H148" s="1078" t="s">
        <v>224</v>
      </c>
      <c r="I148" s="1079"/>
      <c r="J148" s="1084" t="s">
        <v>928</v>
      </c>
      <c r="K148" s="1084"/>
      <c r="L148" s="1084"/>
      <c r="M148" s="1084"/>
      <c r="N148" s="1084"/>
      <c r="O148" s="1084"/>
      <c r="P148" s="1084"/>
      <c r="Q148" s="1084"/>
      <c r="R148" s="1084"/>
      <c r="S148" s="1084"/>
      <c r="T148" s="987"/>
      <c r="U148" s="987"/>
      <c r="V148" s="987"/>
      <c r="W148" s="987"/>
      <c r="X148" s="987"/>
      <c r="Y148" s="987"/>
      <c r="Z148" s="987"/>
      <c r="AA148" s="987"/>
      <c r="AB148" s="987"/>
      <c r="AC148" s="987"/>
    </row>
    <row r="149" spans="1:29">
      <c r="A149" s="215" t="s">
        <v>882</v>
      </c>
      <c r="B149" s="1082" t="s">
        <v>232</v>
      </c>
      <c r="C149" s="1082"/>
      <c r="D149" s="185" t="s">
        <v>139</v>
      </c>
      <c r="E149" s="241">
        <v>1.7569999999999999E-2</v>
      </c>
      <c r="F149" s="185" t="s">
        <v>139</v>
      </c>
      <c r="G149" s="245">
        <v>1</v>
      </c>
      <c r="H149" s="1080" t="s">
        <v>168</v>
      </c>
      <c r="I149" s="1081"/>
      <c r="J149" s="1083" t="s">
        <v>929</v>
      </c>
      <c r="K149" s="1083"/>
      <c r="L149" s="1083"/>
      <c r="M149" s="1083"/>
      <c r="N149" s="1083"/>
      <c r="O149" s="1083"/>
      <c r="P149" s="1083"/>
      <c r="Q149" s="1083"/>
      <c r="R149" s="1083"/>
      <c r="S149" s="1083"/>
    </row>
    <row r="150" spans="1:29">
      <c r="A150" s="215" t="s">
        <v>882</v>
      </c>
      <c r="B150" s="1082" t="s">
        <v>930</v>
      </c>
      <c r="C150" s="1082"/>
      <c r="D150" s="185" t="s">
        <v>139</v>
      </c>
      <c r="E150" s="241" t="s">
        <v>150</v>
      </c>
      <c r="F150" s="185" t="s">
        <v>139</v>
      </c>
      <c r="G150" s="245">
        <v>1</v>
      </c>
      <c r="H150" s="1080" t="s">
        <v>168</v>
      </c>
      <c r="I150" s="1081"/>
      <c r="J150" s="1083" t="s">
        <v>926</v>
      </c>
      <c r="K150" s="1083"/>
      <c r="L150" s="1083"/>
      <c r="M150" s="1083"/>
      <c r="N150" s="1083"/>
      <c r="O150" s="1083"/>
      <c r="P150" s="1083"/>
      <c r="Q150" s="1083"/>
      <c r="R150" s="1083"/>
      <c r="S150" s="1083"/>
    </row>
    <row r="151" spans="1:29">
      <c r="A151" s="215" t="s">
        <v>930</v>
      </c>
      <c r="B151" s="1082" t="s">
        <v>204</v>
      </c>
      <c r="C151" s="1082"/>
      <c r="D151" s="185" t="s">
        <v>139</v>
      </c>
      <c r="E151" s="241">
        <v>2.7E-4</v>
      </c>
      <c r="F151" s="185" t="s">
        <v>139</v>
      </c>
      <c r="G151" s="245">
        <v>2</v>
      </c>
      <c r="H151" s="1080" t="s">
        <v>163</v>
      </c>
      <c r="I151" s="1081"/>
      <c r="J151" s="1083"/>
      <c r="K151" s="1083"/>
      <c r="L151" s="1083"/>
      <c r="M151" s="1083"/>
      <c r="N151" s="1083"/>
      <c r="O151" s="1083"/>
      <c r="P151" s="1083"/>
      <c r="Q151" s="1083"/>
      <c r="R151" s="1083"/>
      <c r="S151" s="1083"/>
    </row>
    <row r="152" spans="1:29">
      <c r="A152" s="215" t="s">
        <v>930</v>
      </c>
      <c r="B152" s="1082" t="s">
        <v>223</v>
      </c>
      <c r="C152" s="1082"/>
      <c r="D152" s="185" t="s">
        <v>139</v>
      </c>
      <c r="E152" s="241" t="s">
        <v>150</v>
      </c>
      <c r="F152" s="185" t="s">
        <v>139</v>
      </c>
      <c r="G152" s="245">
        <v>1</v>
      </c>
      <c r="H152" s="1080" t="s">
        <v>346</v>
      </c>
      <c r="I152" s="1081"/>
      <c r="J152" s="1083"/>
      <c r="K152" s="1083"/>
      <c r="L152" s="1083"/>
      <c r="M152" s="1083"/>
      <c r="N152" s="1083"/>
      <c r="O152" s="1083"/>
      <c r="P152" s="1083"/>
      <c r="Q152" s="1083"/>
      <c r="R152" s="1083"/>
      <c r="S152" s="1083"/>
    </row>
    <row r="153" spans="1:29">
      <c r="A153" s="215" t="s">
        <v>336</v>
      </c>
      <c r="B153" s="1082" t="s">
        <v>204</v>
      </c>
      <c r="C153" s="1082"/>
      <c r="D153" s="185" t="s">
        <v>139</v>
      </c>
      <c r="E153" s="241">
        <v>2.7E-4</v>
      </c>
      <c r="F153" s="185" t="s">
        <v>139</v>
      </c>
      <c r="G153" s="245">
        <v>2</v>
      </c>
      <c r="H153" s="1080" t="s">
        <v>163</v>
      </c>
      <c r="I153" s="1081"/>
      <c r="J153" s="1083"/>
      <c r="K153" s="1083"/>
      <c r="L153" s="1083"/>
      <c r="M153" s="1083"/>
      <c r="N153" s="1083"/>
      <c r="O153" s="1083"/>
      <c r="P153" s="1083"/>
      <c r="Q153" s="1083"/>
      <c r="R153" s="1083"/>
      <c r="S153" s="1083"/>
    </row>
    <row r="154" spans="1:29">
      <c r="A154" s="215" t="s">
        <v>336</v>
      </c>
      <c r="B154" s="1082" t="s">
        <v>223</v>
      </c>
      <c r="C154" s="1082"/>
      <c r="D154" s="185" t="s">
        <v>139</v>
      </c>
      <c r="E154" s="241" t="s">
        <v>150</v>
      </c>
      <c r="F154" s="185" t="s">
        <v>139</v>
      </c>
      <c r="G154" s="245">
        <v>1</v>
      </c>
      <c r="H154" s="1080" t="s">
        <v>346</v>
      </c>
      <c r="I154" s="1081"/>
      <c r="J154" s="1083"/>
      <c r="K154" s="1083"/>
      <c r="L154" s="1083"/>
      <c r="M154" s="1083"/>
      <c r="N154" s="1083"/>
      <c r="O154" s="1083"/>
      <c r="P154" s="1083"/>
      <c r="Q154" s="1083"/>
      <c r="R154" s="1083"/>
      <c r="S154" s="1083"/>
    </row>
    <row r="155" spans="1:29">
      <c r="A155" s="215" t="s">
        <v>336</v>
      </c>
      <c r="B155" s="1082" t="s">
        <v>362</v>
      </c>
      <c r="C155" s="1082"/>
      <c r="D155" s="185" t="s">
        <v>139</v>
      </c>
      <c r="E155" s="241">
        <v>6.5000000000000002E-2</v>
      </c>
      <c r="F155" s="185" t="s">
        <v>139</v>
      </c>
      <c r="G155" s="245">
        <v>1</v>
      </c>
      <c r="H155" s="1080" t="s">
        <v>423</v>
      </c>
      <c r="I155" s="1081"/>
      <c r="J155" s="1083" t="s">
        <v>931</v>
      </c>
      <c r="K155" s="1083"/>
      <c r="L155" s="1083"/>
      <c r="M155" s="1083"/>
      <c r="N155" s="1083"/>
      <c r="O155" s="1083"/>
      <c r="P155" s="1083"/>
      <c r="Q155" s="1083"/>
      <c r="R155" s="1083"/>
      <c r="S155" s="1083"/>
    </row>
    <row r="156" spans="1:29">
      <c r="A156" s="215" t="s">
        <v>336</v>
      </c>
      <c r="B156" s="1082" t="s">
        <v>362</v>
      </c>
      <c r="C156" s="1082"/>
      <c r="D156" s="185" t="s">
        <v>139</v>
      </c>
      <c r="E156" s="241">
        <v>0.46</v>
      </c>
      <c r="F156" s="185" t="s">
        <v>139</v>
      </c>
      <c r="G156" s="245">
        <v>1</v>
      </c>
      <c r="H156" s="1080" t="s">
        <v>424</v>
      </c>
      <c r="I156" s="1081"/>
      <c r="J156" s="1083" t="s">
        <v>932</v>
      </c>
      <c r="K156" s="1083"/>
      <c r="L156" s="1083"/>
      <c r="M156" s="1083"/>
      <c r="N156" s="1083"/>
      <c r="O156" s="1083"/>
      <c r="P156" s="1083"/>
      <c r="Q156" s="1083"/>
      <c r="R156" s="1083"/>
      <c r="S156" s="1083"/>
    </row>
    <row r="157" spans="1:29">
      <c r="A157" s="215" t="s">
        <v>241</v>
      </c>
      <c r="B157" s="1082" t="s">
        <v>204</v>
      </c>
      <c r="C157" s="1082"/>
      <c r="D157" s="185" t="s">
        <v>139</v>
      </c>
      <c r="E157" s="241">
        <v>2.7E-4</v>
      </c>
      <c r="F157" s="185" t="s">
        <v>139</v>
      </c>
      <c r="G157" s="245">
        <v>2</v>
      </c>
      <c r="H157" s="1080" t="s">
        <v>163</v>
      </c>
      <c r="I157" s="1081"/>
      <c r="J157" s="1083"/>
      <c r="K157" s="1083"/>
      <c r="L157" s="1083"/>
      <c r="M157" s="1083"/>
      <c r="N157" s="1083"/>
      <c r="O157" s="1083"/>
      <c r="P157" s="1083"/>
      <c r="Q157" s="1083"/>
      <c r="R157" s="1083"/>
      <c r="S157" s="1083"/>
    </row>
    <row r="158" spans="1:29">
      <c r="A158" s="215" t="s">
        <v>241</v>
      </c>
      <c r="B158" s="1082" t="s">
        <v>223</v>
      </c>
      <c r="C158" s="1082"/>
      <c r="D158" s="185" t="s">
        <v>139</v>
      </c>
      <c r="E158" s="241" t="s">
        <v>150</v>
      </c>
      <c r="F158" s="185" t="s">
        <v>139</v>
      </c>
      <c r="G158" s="245">
        <v>1</v>
      </c>
      <c r="H158" s="1080" t="s">
        <v>346</v>
      </c>
      <c r="I158" s="1081"/>
      <c r="J158" s="1083"/>
      <c r="K158" s="1083"/>
      <c r="L158" s="1083"/>
      <c r="M158" s="1083"/>
      <c r="N158" s="1083"/>
      <c r="O158" s="1083"/>
      <c r="P158" s="1083"/>
      <c r="Q158" s="1083"/>
      <c r="R158" s="1083"/>
      <c r="S158" s="1083"/>
    </row>
    <row r="159" spans="1:29">
      <c r="A159" s="215" t="s">
        <v>241</v>
      </c>
      <c r="B159" s="1082" t="s">
        <v>362</v>
      </c>
      <c r="C159" s="1082"/>
      <c r="D159" s="185" t="s">
        <v>139</v>
      </c>
      <c r="E159" s="241">
        <v>0.91400000000000003</v>
      </c>
      <c r="F159" s="185" t="s">
        <v>139</v>
      </c>
      <c r="G159" s="245">
        <v>1</v>
      </c>
      <c r="H159" s="1080" t="s">
        <v>423</v>
      </c>
      <c r="I159" s="1081"/>
      <c r="J159" s="1083" t="s">
        <v>931</v>
      </c>
      <c r="K159" s="1083"/>
      <c r="L159" s="1083"/>
      <c r="M159" s="1083"/>
      <c r="N159" s="1083"/>
      <c r="O159" s="1083"/>
      <c r="P159" s="1083"/>
      <c r="Q159" s="1083"/>
      <c r="R159" s="1083"/>
      <c r="S159" s="1083"/>
    </row>
    <row r="160" spans="1:29">
      <c r="A160" s="215" t="s">
        <v>239</v>
      </c>
      <c r="B160" s="1082" t="s">
        <v>204</v>
      </c>
      <c r="C160" s="1082"/>
      <c r="D160" s="185" t="s">
        <v>139</v>
      </c>
      <c r="E160" s="241">
        <v>2.7E-4</v>
      </c>
      <c r="F160" s="185" t="s">
        <v>139</v>
      </c>
      <c r="G160" s="245">
        <v>2</v>
      </c>
      <c r="H160" s="1080" t="s">
        <v>163</v>
      </c>
      <c r="I160" s="1081"/>
      <c r="J160" s="1083"/>
      <c r="K160" s="1083"/>
      <c r="L160" s="1083"/>
      <c r="M160" s="1083"/>
      <c r="N160" s="1083"/>
      <c r="O160" s="1083"/>
      <c r="P160" s="1083"/>
      <c r="Q160" s="1083"/>
      <c r="R160" s="1083"/>
      <c r="S160" s="1083"/>
    </row>
    <row r="161" spans="1:19">
      <c r="A161" s="215" t="s">
        <v>239</v>
      </c>
      <c r="B161" s="1082" t="s">
        <v>223</v>
      </c>
      <c r="C161" s="1082"/>
      <c r="D161" s="185" t="s">
        <v>139</v>
      </c>
      <c r="E161" s="241" t="s">
        <v>150</v>
      </c>
      <c r="F161" s="185" t="s">
        <v>139</v>
      </c>
      <c r="G161" s="245">
        <v>1</v>
      </c>
      <c r="H161" s="1080" t="s">
        <v>346</v>
      </c>
      <c r="I161" s="1081"/>
      <c r="J161" s="1083"/>
      <c r="K161" s="1083"/>
      <c r="L161" s="1083"/>
      <c r="M161" s="1083"/>
      <c r="N161" s="1083"/>
      <c r="O161" s="1083"/>
      <c r="P161" s="1083"/>
      <c r="Q161" s="1083"/>
      <c r="R161" s="1083"/>
      <c r="S161" s="1083"/>
    </row>
    <row r="162" spans="1:19">
      <c r="A162" s="215" t="s">
        <v>239</v>
      </c>
      <c r="B162" s="1082" t="s">
        <v>362</v>
      </c>
      <c r="C162" s="1082"/>
      <c r="D162" s="185" t="s">
        <v>139</v>
      </c>
      <c r="E162" s="241">
        <v>0.16500000000000001</v>
      </c>
      <c r="F162" s="185" t="s">
        <v>139</v>
      </c>
      <c r="G162" s="245">
        <v>1</v>
      </c>
      <c r="H162" s="1080" t="s">
        <v>423</v>
      </c>
      <c r="I162" s="1081"/>
      <c r="J162" s="1083" t="s">
        <v>931</v>
      </c>
      <c r="K162" s="1083"/>
      <c r="L162" s="1083"/>
      <c r="M162" s="1083"/>
      <c r="N162" s="1083"/>
      <c r="O162" s="1083"/>
      <c r="P162" s="1083"/>
      <c r="Q162" s="1083"/>
      <c r="R162" s="1083"/>
      <c r="S162" s="1083"/>
    </row>
    <row r="163" spans="1:19">
      <c r="A163" s="215" t="s">
        <v>239</v>
      </c>
      <c r="B163" s="1082" t="s">
        <v>362</v>
      </c>
      <c r="C163" s="1082"/>
      <c r="D163" s="185" t="s">
        <v>139</v>
      </c>
      <c r="E163" s="241">
        <v>0.52500000000000002</v>
      </c>
      <c r="F163" s="185" t="s">
        <v>139</v>
      </c>
      <c r="G163" s="245">
        <v>1</v>
      </c>
      <c r="H163" s="1080" t="s">
        <v>423</v>
      </c>
      <c r="I163" s="1081"/>
      <c r="J163" s="1083" t="s">
        <v>932</v>
      </c>
      <c r="K163" s="1083"/>
      <c r="L163" s="1083"/>
      <c r="M163" s="1083"/>
      <c r="N163" s="1083"/>
      <c r="O163" s="1083"/>
      <c r="P163" s="1083"/>
      <c r="Q163" s="1083"/>
      <c r="R163" s="1083"/>
      <c r="S163" s="1083"/>
    </row>
    <row r="164" spans="1:19">
      <c r="A164" s="215" t="s">
        <v>240</v>
      </c>
      <c r="B164" s="1082" t="s">
        <v>204</v>
      </c>
      <c r="C164" s="1082"/>
      <c r="D164" s="185" t="s">
        <v>139</v>
      </c>
      <c r="E164" s="241">
        <v>2.7E-4</v>
      </c>
      <c r="F164" s="185" t="s">
        <v>139</v>
      </c>
      <c r="G164" s="245">
        <v>2</v>
      </c>
      <c r="H164" s="1080" t="s">
        <v>163</v>
      </c>
      <c r="I164" s="1081"/>
      <c r="J164" s="1083"/>
      <c r="K164" s="1083"/>
      <c r="L164" s="1083"/>
      <c r="M164" s="1083"/>
      <c r="N164" s="1083"/>
      <c r="O164" s="1083"/>
      <c r="P164" s="1083"/>
      <c r="Q164" s="1083"/>
      <c r="R164" s="1083"/>
      <c r="S164" s="1083"/>
    </row>
    <row r="165" spans="1:19">
      <c r="A165" s="215" t="s">
        <v>240</v>
      </c>
      <c r="B165" s="1082" t="s">
        <v>223</v>
      </c>
      <c r="C165" s="1082"/>
      <c r="D165" s="185" t="s">
        <v>139</v>
      </c>
      <c r="E165" s="241" t="s">
        <v>150</v>
      </c>
      <c r="F165" s="185" t="s">
        <v>139</v>
      </c>
      <c r="G165" s="245">
        <v>1</v>
      </c>
      <c r="H165" s="1080" t="s">
        <v>346</v>
      </c>
      <c r="I165" s="1081"/>
      <c r="J165" s="1083"/>
      <c r="K165" s="1083"/>
      <c r="L165" s="1083"/>
      <c r="M165" s="1083"/>
      <c r="N165" s="1083"/>
      <c r="O165" s="1083"/>
      <c r="P165" s="1083"/>
      <c r="Q165" s="1083"/>
      <c r="R165" s="1083"/>
      <c r="S165" s="1083"/>
    </row>
    <row r="166" spans="1:19">
      <c r="A166" s="215" t="s">
        <v>240</v>
      </c>
      <c r="B166" s="1082" t="s">
        <v>362</v>
      </c>
      <c r="C166" s="1082"/>
      <c r="D166" s="185" t="s">
        <v>139</v>
      </c>
      <c r="E166" s="241">
        <v>6.5000000000000002E-2</v>
      </c>
      <c r="F166" s="185" t="s">
        <v>139</v>
      </c>
      <c r="G166" s="245">
        <v>1</v>
      </c>
      <c r="H166" s="1080" t="s">
        <v>423</v>
      </c>
      <c r="I166" s="1081"/>
      <c r="J166" s="1083" t="s">
        <v>932</v>
      </c>
      <c r="K166" s="1083"/>
      <c r="L166" s="1083"/>
      <c r="M166" s="1083"/>
      <c r="N166" s="1083"/>
      <c r="O166" s="1083"/>
      <c r="P166" s="1083"/>
      <c r="Q166" s="1083"/>
      <c r="R166" s="1083"/>
      <c r="S166" s="1083"/>
    </row>
    <row r="167" spans="1:19">
      <c r="A167" s="215" t="s">
        <v>191</v>
      </c>
      <c r="B167" s="1082" t="s">
        <v>918</v>
      </c>
      <c r="C167" s="1082"/>
      <c r="D167" s="185" t="s">
        <v>139</v>
      </c>
      <c r="E167" s="241">
        <v>1.2999999999999999E-2</v>
      </c>
      <c r="F167" s="185" t="s">
        <v>139</v>
      </c>
      <c r="G167" s="245">
        <v>1</v>
      </c>
      <c r="H167" s="1080" t="s">
        <v>163</v>
      </c>
      <c r="I167" s="1081"/>
      <c r="J167" s="1083" t="s">
        <v>933</v>
      </c>
      <c r="K167" s="1083"/>
      <c r="L167" s="1083"/>
      <c r="M167" s="1083"/>
      <c r="N167" s="1083"/>
      <c r="O167" s="1083"/>
      <c r="P167" s="1083"/>
      <c r="Q167" s="1083"/>
      <c r="R167" s="1083"/>
      <c r="S167" s="1083"/>
    </row>
    <row r="168" spans="1:19">
      <c r="A168" s="215" t="s">
        <v>191</v>
      </c>
      <c r="B168" s="1082" t="s">
        <v>918</v>
      </c>
      <c r="C168" s="1082"/>
      <c r="D168" s="185" t="s">
        <v>139</v>
      </c>
      <c r="E168" s="241">
        <v>8.6E-3</v>
      </c>
      <c r="F168" s="185" t="s">
        <v>139</v>
      </c>
      <c r="G168" s="245">
        <v>1</v>
      </c>
      <c r="H168" s="1080" t="s">
        <v>163</v>
      </c>
      <c r="I168" s="1081"/>
      <c r="J168" s="1083" t="s">
        <v>934</v>
      </c>
      <c r="K168" s="1083"/>
      <c r="L168" s="1083"/>
      <c r="M168" s="1083"/>
      <c r="N168" s="1083"/>
      <c r="O168" s="1083"/>
      <c r="P168" s="1083"/>
      <c r="Q168" s="1083"/>
      <c r="R168" s="1083"/>
      <c r="S168" s="1083"/>
    </row>
    <row r="169" spans="1:19">
      <c r="A169" s="215" t="s">
        <v>191</v>
      </c>
      <c r="B169" s="1082" t="s">
        <v>231</v>
      </c>
      <c r="C169" s="1082"/>
      <c r="D169" s="185" t="s">
        <v>139</v>
      </c>
      <c r="E169" s="241">
        <v>0</v>
      </c>
      <c r="F169" s="185" t="s">
        <v>139</v>
      </c>
      <c r="G169" s="245">
        <v>1</v>
      </c>
      <c r="H169" s="1080" t="s">
        <v>163</v>
      </c>
      <c r="I169" s="1081"/>
      <c r="J169" s="1083"/>
      <c r="K169" s="1083"/>
      <c r="L169" s="1083"/>
      <c r="M169" s="1083"/>
      <c r="N169" s="1083"/>
      <c r="O169" s="1083"/>
      <c r="P169" s="1083"/>
      <c r="Q169" s="1083"/>
      <c r="R169" s="1083"/>
      <c r="S169" s="1083"/>
    </row>
    <row r="170" spans="1:19">
      <c r="A170" s="215" t="s">
        <v>191</v>
      </c>
      <c r="B170" s="1082" t="s">
        <v>232</v>
      </c>
      <c r="C170" s="1082"/>
      <c r="D170" s="185" t="s">
        <v>139</v>
      </c>
      <c r="E170" s="241">
        <v>1.7569999999999999E-2</v>
      </c>
      <c r="F170" s="185" t="s">
        <v>139</v>
      </c>
      <c r="G170" s="245">
        <v>1</v>
      </c>
      <c r="H170" s="1080" t="s">
        <v>168</v>
      </c>
      <c r="I170" s="1081"/>
      <c r="J170" s="1083" t="s">
        <v>929</v>
      </c>
      <c r="K170" s="1083"/>
      <c r="L170" s="1083"/>
      <c r="M170" s="1083"/>
      <c r="N170" s="1083"/>
      <c r="O170" s="1083"/>
      <c r="P170" s="1083"/>
      <c r="Q170" s="1083"/>
      <c r="R170" s="1083"/>
      <c r="S170" s="1083"/>
    </row>
    <row r="171" spans="1:19">
      <c r="A171" s="215" t="s">
        <v>191</v>
      </c>
      <c r="B171" s="1082" t="s">
        <v>190</v>
      </c>
      <c r="C171" s="1082"/>
      <c r="D171" s="185" t="s">
        <v>139</v>
      </c>
      <c r="E171" s="241" t="s">
        <v>150</v>
      </c>
      <c r="F171" s="185" t="s">
        <v>139</v>
      </c>
      <c r="G171" s="245">
        <v>1</v>
      </c>
      <c r="H171" s="1080" t="s">
        <v>168</v>
      </c>
      <c r="I171" s="1081"/>
      <c r="J171" s="1083" t="s">
        <v>926</v>
      </c>
      <c r="K171" s="1083"/>
      <c r="L171" s="1083"/>
      <c r="M171" s="1083"/>
      <c r="N171" s="1083"/>
      <c r="O171" s="1083"/>
      <c r="P171" s="1083"/>
      <c r="Q171" s="1083"/>
      <c r="R171" s="1083"/>
      <c r="S171" s="1083"/>
    </row>
    <row r="172" spans="1:19">
      <c r="A172" s="215" t="s">
        <v>190</v>
      </c>
      <c r="B172" s="1082" t="s">
        <v>204</v>
      </c>
      <c r="C172" s="1082"/>
      <c r="D172" s="185" t="s">
        <v>139</v>
      </c>
      <c r="E172" s="241">
        <v>2.7E-4</v>
      </c>
      <c r="F172" s="185" t="s">
        <v>139</v>
      </c>
      <c r="G172" s="245">
        <v>2</v>
      </c>
      <c r="H172" s="1080" t="s">
        <v>163</v>
      </c>
      <c r="I172" s="1081"/>
      <c r="J172" s="1083"/>
      <c r="K172" s="1083"/>
      <c r="L172" s="1083"/>
      <c r="M172" s="1083"/>
      <c r="N172" s="1083"/>
      <c r="O172" s="1083"/>
      <c r="P172" s="1083"/>
      <c r="Q172" s="1083"/>
      <c r="R172" s="1083"/>
      <c r="S172" s="1083"/>
    </row>
    <row r="173" spans="1:19">
      <c r="A173" s="215" t="s">
        <v>190</v>
      </c>
      <c r="B173" s="1082" t="s">
        <v>223</v>
      </c>
      <c r="C173" s="1082"/>
      <c r="D173" s="185" t="s">
        <v>139</v>
      </c>
      <c r="E173" s="241">
        <v>0.55385041999999995</v>
      </c>
      <c r="F173" s="185" t="s">
        <v>139</v>
      </c>
      <c r="G173" s="245">
        <v>1</v>
      </c>
      <c r="H173" s="1080" t="s">
        <v>224</v>
      </c>
      <c r="I173" s="1081"/>
      <c r="J173" s="1083" t="s">
        <v>935</v>
      </c>
      <c r="K173" s="1083"/>
      <c r="L173" s="1083"/>
      <c r="M173" s="1083"/>
      <c r="N173" s="1083"/>
      <c r="O173" s="1083"/>
      <c r="P173" s="1083"/>
      <c r="Q173" s="1083"/>
      <c r="R173" s="1083"/>
      <c r="S173" s="1083"/>
    </row>
    <row r="174" spans="1:19">
      <c r="A174" s="215" t="s">
        <v>190</v>
      </c>
      <c r="B174" s="1082" t="str">
        <f>'Textile waste collection'!B16</f>
        <v>Home textile waste collection</v>
      </c>
      <c r="C174" s="1082"/>
      <c r="D174" s="185" t="s">
        <v>139</v>
      </c>
      <c r="E174" s="241">
        <f>'Textile waste collection'!E16</f>
        <v>0.50465116279069766</v>
      </c>
      <c r="F174" s="185" t="s">
        <v>139</v>
      </c>
      <c r="G174" s="245">
        <v>1</v>
      </c>
      <c r="H174" s="1080" t="s">
        <v>224</v>
      </c>
      <c r="I174" s="1081"/>
      <c r="J174" s="1083" t="s">
        <v>936</v>
      </c>
      <c r="K174" s="1083"/>
      <c r="L174" s="1083"/>
      <c r="M174" s="1083"/>
      <c r="N174" s="1083"/>
      <c r="O174" s="1083"/>
      <c r="P174" s="1083"/>
      <c r="Q174" s="1083"/>
      <c r="R174" s="1083"/>
      <c r="S174" s="1083"/>
    </row>
    <row r="175" spans="1:19">
      <c r="A175" s="215" t="s">
        <v>355</v>
      </c>
      <c r="B175" s="1082" t="s">
        <v>918</v>
      </c>
      <c r="C175" s="1082"/>
      <c r="D175" s="185" t="s">
        <v>139</v>
      </c>
      <c r="E175" s="241">
        <v>1.2999999999999999E-2</v>
      </c>
      <c r="F175" s="185" t="s">
        <v>139</v>
      </c>
      <c r="G175" s="245">
        <v>1</v>
      </c>
      <c r="H175" s="1080" t="s">
        <v>163</v>
      </c>
      <c r="I175" s="1081"/>
      <c r="J175" s="1083" t="s">
        <v>937</v>
      </c>
      <c r="K175" s="1083"/>
      <c r="L175" s="1083"/>
      <c r="M175" s="1083"/>
      <c r="N175" s="1083"/>
      <c r="O175" s="1083"/>
      <c r="P175" s="1083"/>
      <c r="Q175" s="1083"/>
      <c r="R175" s="1083"/>
      <c r="S175" s="1083"/>
    </row>
    <row r="176" spans="1:19">
      <c r="A176" s="215" t="s">
        <v>355</v>
      </c>
      <c r="B176" s="1082" t="s">
        <v>918</v>
      </c>
      <c r="C176" s="1082"/>
      <c r="D176" s="185" t="s">
        <v>139</v>
      </c>
      <c r="E176" s="241">
        <v>8.6E-3</v>
      </c>
      <c r="F176" s="185" t="s">
        <v>139</v>
      </c>
      <c r="G176" s="245">
        <v>1</v>
      </c>
      <c r="H176" s="1080" t="s">
        <v>163</v>
      </c>
      <c r="I176" s="1081"/>
      <c r="J176" s="1083" t="s">
        <v>938</v>
      </c>
      <c r="K176" s="1083"/>
      <c r="L176" s="1083"/>
      <c r="M176" s="1083"/>
      <c r="N176" s="1083"/>
      <c r="O176" s="1083"/>
      <c r="P176" s="1083"/>
      <c r="Q176" s="1083"/>
      <c r="R176" s="1083"/>
      <c r="S176" s="1083"/>
    </row>
    <row r="177" spans="1:19">
      <c r="A177" s="215" t="s">
        <v>355</v>
      </c>
      <c r="B177" s="1082" t="s">
        <v>231</v>
      </c>
      <c r="C177" s="1082"/>
      <c r="D177" s="185" t="s">
        <v>139</v>
      </c>
      <c r="E177" s="241">
        <v>0</v>
      </c>
      <c r="F177" s="185" t="s">
        <v>139</v>
      </c>
      <c r="G177" s="245">
        <v>1</v>
      </c>
      <c r="H177" s="1080" t="s">
        <v>163</v>
      </c>
      <c r="I177" s="1081"/>
      <c r="J177" s="1083" t="s">
        <v>939</v>
      </c>
      <c r="K177" s="1083"/>
      <c r="L177" s="1083"/>
      <c r="M177" s="1083"/>
      <c r="N177" s="1083"/>
      <c r="O177" s="1083"/>
      <c r="P177" s="1083"/>
      <c r="Q177" s="1083"/>
      <c r="R177" s="1083"/>
      <c r="S177" s="1083"/>
    </row>
    <row r="178" spans="1:19">
      <c r="A178" s="215" t="s">
        <v>355</v>
      </c>
      <c r="B178" s="1082" t="s">
        <v>232</v>
      </c>
      <c r="C178" s="1082"/>
      <c r="D178" s="185" t="s">
        <v>139</v>
      </c>
      <c r="E178" s="241">
        <v>0</v>
      </c>
      <c r="F178" s="185" t="s">
        <v>139</v>
      </c>
      <c r="G178" s="245">
        <v>1</v>
      </c>
      <c r="H178" s="1080" t="s">
        <v>163</v>
      </c>
      <c r="I178" s="1081"/>
      <c r="J178" s="1083" t="s">
        <v>940</v>
      </c>
      <c r="K178" s="1083"/>
      <c r="L178" s="1083"/>
      <c r="M178" s="1083"/>
      <c r="N178" s="1083"/>
      <c r="O178" s="1083"/>
      <c r="P178" s="1083"/>
      <c r="Q178" s="1083"/>
      <c r="R178" s="1083"/>
      <c r="S178" s="1083"/>
    </row>
    <row r="179" spans="1:19">
      <c r="A179" s="215" t="s">
        <v>355</v>
      </c>
      <c r="B179" s="1082" t="s">
        <v>242</v>
      </c>
      <c r="C179" s="1082"/>
      <c r="D179" s="185" t="s">
        <v>139</v>
      </c>
      <c r="E179" s="241" t="s">
        <v>150</v>
      </c>
      <c r="F179" s="185" t="s">
        <v>139</v>
      </c>
      <c r="G179" s="245">
        <v>1</v>
      </c>
      <c r="H179" s="1080" t="s">
        <v>168</v>
      </c>
      <c r="I179" s="1081"/>
      <c r="J179" s="1083" t="s">
        <v>926</v>
      </c>
      <c r="K179" s="1083"/>
      <c r="L179" s="1083"/>
      <c r="M179" s="1083"/>
      <c r="N179" s="1083"/>
      <c r="O179" s="1083"/>
      <c r="P179" s="1083"/>
      <c r="Q179" s="1083"/>
      <c r="R179" s="1083"/>
      <c r="S179" s="1083"/>
    </row>
    <row r="180" spans="1:19">
      <c r="A180" s="215" t="s">
        <v>242</v>
      </c>
      <c r="B180" s="1082" t="s">
        <v>204</v>
      </c>
      <c r="C180" s="1082"/>
      <c r="D180" s="185" t="s">
        <v>139</v>
      </c>
      <c r="E180" s="241">
        <v>2.7E-4</v>
      </c>
      <c r="F180" s="185" t="s">
        <v>139</v>
      </c>
      <c r="G180" s="245">
        <v>2</v>
      </c>
      <c r="H180" s="1080" t="s">
        <v>163</v>
      </c>
      <c r="I180" s="1081"/>
      <c r="J180" s="1083"/>
      <c r="K180" s="1083"/>
      <c r="L180" s="1083"/>
      <c r="M180" s="1083"/>
      <c r="N180" s="1083"/>
      <c r="O180" s="1083"/>
      <c r="P180" s="1083"/>
      <c r="Q180" s="1083"/>
      <c r="R180" s="1083"/>
      <c r="S180" s="1083"/>
    </row>
    <row r="181" spans="1:19">
      <c r="A181" s="215" t="s">
        <v>242</v>
      </c>
      <c r="B181" s="1082" t="s">
        <v>223</v>
      </c>
      <c r="C181" s="1082"/>
      <c r="D181" s="185" t="s">
        <v>139</v>
      </c>
      <c r="E181" s="241">
        <v>0.55385041999999995</v>
      </c>
      <c r="F181" s="185" t="s">
        <v>139</v>
      </c>
      <c r="G181" s="245">
        <v>1</v>
      </c>
      <c r="H181" s="1080" t="s">
        <v>224</v>
      </c>
      <c r="I181" s="1081"/>
      <c r="J181" s="1083" t="s">
        <v>941</v>
      </c>
      <c r="K181" s="1083"/>
      <c r="L181" s="1083"/>
      <c r="M181" s="1083"/>
      <c r="N181" s="1083"/>
      <c r="O181" s="1083"/>
      <c r="P181" s="1083"/>
      <c r="Q181" s="1083"/>
      <c r="R181" s="1083"/>
      <c r="S181" s="1083"/>
    </row>
    <row r="182" spans="1:19">
      <c r="A182" s="215" t="s">
        <v>242</v>
      </c>
      <c r="B182" s="1082" t="str">
        <f>'Textile waste collection'!B17</f>
        <v>Technical textile waste collection</v>
      </c>
      <c r="C182" s="1082"/>
      <c r="D182" s="185" t="s">
        <v>139</v>
      </c>
      <c r="E182" s="241">
        <f>'Textile waste collection'!E17</f>
        <v>0.50465116279069766</v>
      </c>
      <c r="F182" s="185" t="s">
        <v>139</v>
      </c>
      <c r="G182" s="245">
        <v>1</v>
      </c>
      <c r="H182" s="1080" t="s">
        <v>224</v>
      </c>
      <c r="I182" s="1081"/>
      <c r="J182" s="1083" t="s">
        <v>942</v>
      </c>
      <c r="K182" s="1083"/>
      <c r="L182" s="1083"/>
      <c r="M182" s="1083"/>
      <c r="N182" s="1083"/>
      <c r="O182" s="1083"/>
      <c r="P182" s="1083"/>
      <c r="Q182" s="1083"/>
      <c r="R182" s="1083"/>
      <c r="S182" s="1083"/>
    </row>
    <row r="183" spans="1:19">
      <c r="A183" s="215" t="s">
        <v>345</v>
      </c>
      <c r="B183" s="1082" t="s">
        <v>223</v>
      </c>
      <c r="C183" s="1082"/>
      <c r="D183" s="185" t="s">
        <v>139</v>
      </c>
      <c r="E183" s="241">
        <v>1</v>
      </c>
      <c r="F183" s="185" t="s">
        <v>139</v>
      </c>
      <c r="G183" s="245">
        <v>1</v>
      </c>
      <c r="H183" s="1080" t="s">
        <v>163</v>
      </c>
      <c r="I183" s="1081"/>
      <c r="J183" s="1083"/>
      <c r="K183" s="1083"/>
      <c r="L183" s="1083"/>
      <c r="M183" s="1083"/>
      <c r="N183" s="1083"/>
      <c r="O183" s="1083"/>
      <c r="P183" s="1083"/>
      <c r="Q183" s="1083"/>
      <c r="R183" s="1083"/>
      <c r="S183" s="1083"/>
    </row>
    <row r="184" spans="1:19">
      <c r="A184" s="215" t="s">
        <v>162</v>
      </c>
      <c r="B184" s="1082" t="s">
        <v>155</v>
      </c>
      <c r="C184" s="1082"/>
      <c r="D184" s="185" t="s">
        <v>139</v>
      </c>
      <c r="E184" s="241">
        <v>0</v>
      </c>
      <c r="F184" s="185" t="s">
        <v>139</v>
      </c>
      <c r="G184" s="245">
        <v>1</v>
      </c>
      <c r="H184" s="1080" t="s">
        <v>163</v>
      </c>
      <c r="I184" s="1081"/>
      <c r="J184" s="1083" t="s">
        <v>147</v>
      </c>
      <c r="K184" s="1083"/>
      <c r="L184" s="1083"/>
      <c r="M184" s="1083"/>
      <c r="N184" s="1083"/>
      <c r="O184" s="1083"/>
      <c r="P184" s="1083"/>
      <c r="Q184" s="1083"/>
      <c r="R184" s="1083"/>
      <c r="S184" s="1083"/>
    </row>
    <row r="185" spans="1:19">
      <c r="A185" s="215" t="s">
        <v>162</v>
      </c>
      <c r="B185" s="1082" t="s">
        <v>155</v>
      </c>
      <c r="C185" s="1082"/>
      <c r="D185" s="185" t="s">
        <v>139</v>
      </c>
      <c r="E185" s="241">
        <v>1.2999999999999999E-2</v>
      </c>
      <c r="F185" s="185" t="s">
        <v>139</v>
      </c>
      <c r="G185" s="245">
        <v>1</v>
      </c>
      <c r="H185" s="1080" t="s">
        <v>163</v>
      </c>
      <c r="I185" s="1081"/>
      <c r="J185" s="1083" t="s">
        <v>943</v>
      </c>
      <c r="K185" s="1083"/>
      <c r="L185" s="1083"/>
      <c r="M185" s="1083"/>
      <c r="N185" s="1083"/>
      <c r="O185" s="1083"/>
      <c r="P185" s="1083"/>
      <c r="Q185" s="1083"/>
      <c r="R185" s="1083"/>
      <c r="S185" s="1083"/>
    </row>
    <row r="186" spans="1:19">
      <c r="A186" s="215" t="s">
        <v>162</v>
      </c>
      <c r="B186" s="1082" t="s">
        <v>146</v>
      </c>
      <c r="C186" s="1082"/>
      <c r="D186" s="185" t="s">
        <v>139</v>
      </c>
      <c r="E186" s="241">
        <v>0</v>
      </c>
      <c r="F186" s="185" t="s">
        <v>139</v>
      </c>
      <c r="G186" s="245">
        <v>1</v>
      </c>
      <c r="H186" s="1080" t="s">
        <v>163</v>
      </c>
      <c r="I186" s="1081"/>
      <c r="J186" s="1083" t="s">
        <v>147</v>
      </c>
      <c r="K186" s="1083"/>
      <c r="L186" s="1083"/>
      <c r="M186" s="1083"/>
      <c r="N186" s="1083"/>
      <c r="O186" s="1083"/>
      <c r="P186" s="1083"/>
      <c r="Q186" s="1083"/>
      <c r="R186" s="1083"/>
      <c r="S186" s="1083"/>
    </row>
    <row r="187" spans="1:19">
      <c r="A187" s="215" t="s">
        <v>162</v>
      </c>
      <c r="B187" s="1082" t="s">
        <v>146</v>
      </c>
      <c r="C187" s="1082"/>
      <c r="D187" s="185" t="s">
        <v>139</v>
      </c>
      <c r="E187" s="241">
        <v>8.5000000000000006E-2</v>
      </c>
      <c r="F187" s="185" t="s">
        <v>139</v>
      </c>
      <c r="G187" s="245">
        <v>1</v>
      </c>
      <c r="H187" s="1080" t="s">
        <v>163</v>
      </c>
      <c r="I187" s="1081"/>
      <c r="J187" s="1083" t="s">
        <v>148</v>
      </c>
      <c r="K187" s="1083"/>
      <c r="L187" s="1083"/>
      <c r="M187" s="1083"/>
      <c r="N187" s="1083"/>
      <c r="O187" s="1083"/>
      <c r="P187" s="1083"/>
      <c r="Q187" s="1083"/>
      <c r="R187" s="1083"/>
      <c r="S187" s="1083"/>
    </row>
    <row r="188" spans="1:19">
      <c r="A188" s="215" t="s">
        <v>162</v>
      </c>
      <c r="B188" s="1082" t="s">
        <v>153</v>
      </c>
      <c r="C188" s="1082"/>
      <c r="D188" s="185" t="s">
        <v>139</v>
      </c>
      <c r="E188" s="241" t="s">
        <v>150</v>
      </c>
      <c r="F188" s="185" t="s">
        <v>139</v>
      </c>
      <c r="G188" s="245">
        <v>1</v>
      </c>
      <c r="H188" s="1080" t="s">
        <v>168</v>
      </c>
      <c r="I188" s="1081"/>
      <c r="J188" s="1083" t="s">
        <v>926</v>
      </c>
      <c r="K188" s="1083"/>
      <c r="L188" s="1083"/>
      <c r="M188" s="1083"/>
      <c r="N188" s="1083"/>
      <c r="O188" s="1083"/>
      <c r="P188" s="1083"/>
      <c r="Q188" s="1083"/>
      <c r="R188" s="1083"/>
      <c r="S188" s="1083"/>
    </row>
    <row r="189" spans="1:19">
      <c r="A189" s="215" t="s">
        <v>153</v>
      </c>
      <c r="B189" s="1082" t="s">
        <v>165</v>
      </c>
      <c r="C189" s="1082"/>
      <c r="D189" s="185" t="s">
        <v>139</v>
      </c>
      <c r="E189" s="241" t="s">
        <v>150</v>
      </c>
      <c r="F189" s="185" t="s">
        <v>139</v>
      </c>
      <c r="G189" s="245">
        <v>1</v>
      </c>
      <c r="H189" s="1080" t="s">
        <v>163</v>
      </c>
      <c r="I189" s="1081"/>
      <c r="J189" s="1083"/>
      <c r="K189" s="1083"/>
      <c r="L189" s="1083"/>
      <c r="M189" s="1083"/>
      <c r="N189" s="1083"/>
      <c r="O189" s="1083"/>
      <c r="P189" s="1083"/>
      <c r="Q189" s="1083"/>
      <c r="R189" s="1083"/>
      <c r="S189" s="1083"/>
    </row>
    <row r="190" spans="1:19">
      <c r="A190" s="215" t="s">
        <v>153</v>
      </c>
      <c r="B190" s="1082" t="s">
        <v>204</v>
      </c>
      <c r="C190" s="1082"/>
      <c r="D190" s="185" t="s">
        <v>139</v>
      </c>
      <c r="E190" s="241">
        <v>2.7E-4</v>
      </c>
      <c r="F190" s="185" t="s">
        <v>139</v>
      </c>
      <c r="G190" s="245">
        <v>2</v>
      </c>
      <c r="H190" s="1080" t="s">
        <v>163</v>
      </c>
      <c r="I190" s="1081"/>
      <c r="J190" s="1083"/>
      <c r="K190" s="1083"/>
      <c r="L190" s="1083"/>
      <c r="M190" s="1083"/>
      <c r="N190" s="1083"/>
      <c r="O190" s="1083"/>
      <c r="P190" s="1083"/>
      <c r="Q190" s="1083"/>
      <c r="R190" s="1083"/>
      <c r="S190" s="1083"/>
    </row>
    <row r="191" spans="1:19">
      <c r="A191" s="215" t="s">
        <v>153</v>
      </c>
      <c r="B191" s="1082" t="s">
        <v>944</v>
      </c>
      <c r="C191" s="1082"/>
      <c r="D191" s="185" t="s">
        <v>139</v>
      </c>
      <c r="E191" s="241">
        <v>0</v>
      </c>
      <c r="F191" s="185" t="s">
        <v>139</v>
      </c>
      <c r="G191" s="245">
        <v>1</v>
      </c>
      <c r="H191" s="1080" t="s">
        <v>163</v>
      </c>
      <c r="I191" s="1081"/>
      <c r="J191" s="1083"/>
      <c r="K191" s="1083"/>
      <c r="L191" s="1083"/>
      <c r="M191" s="1083"/>
      <c r="N191" s="1083"/>
      <c r="O191" s="1083"/>
      <c r="P191" s="1083"/>
      <c r="Q191" s="1083"/>
      <c r="R191" s="1083"/>
      <c r="S191" s="1083"/>
    </row>
    <row r="192" spans="1:19">
      <c r="A192" s="215" t="s">
        <v>153</v>
      </c>
      <c r="B192" s="1082" t="s">
        <v>945</v>
      </c>
      <c r="C192" s="1082"/>
      <c r="D192" s="185" t="s">
        <v>139</v>
      </c>
      <c r="E192" s="241">
        <v>0</v>
      </c>
      <c r="F192" s="185" t="s">
        <v>139</v>
      </c>
      <c r="G192" s="245">
        <v>1</v>
      </c>
      <c r="H192" s="1080" t="s">
        <v>163</v>
      </c>
      <c r="I192" s="1081"/>
      <c r="J192" s="1083"/>
      <c r="K192" s="1083"/>
      <c r="L192" s="1083"/>
      <c r="M192" s="1083"/>
      <c r="N192" s="1083"/>
      <c r="O192" s="1083"/>
      <c r="P192" s="1083"/>
      <c r="Q192" s="1083"/>
      <c r="R192" s="1083"/>
      <c r="S192" s="1083"/>
    </row>
    <row r="193" spans="1:19">
      <c r="A193" s="215" t="s">
        <v>347</v>
      </c>
      <c r="B193" s="1082" t="s">
        <v>245</v>
      </c>
      <c r="C193" s="1082"/>
      <c r="D193" s="185" t="s">
        <v>139</v>
      </c>
      <c r="E193" s="241">
        <v>0.53527000000000002</v>
      </c>
      <c r="F193" s="185" t="s">
        <v>139</v>
      </c>
      <c r="G193" s="245">
        <v>1</v>
      </c>
      <c r="H193" s="1080" t="s">
        <v>163</v>
      </c>
      <c r="I193" s="1081"/>
      <c r="J193" s="1083"/>
      <c r="K193" s="1083"/>
      <c r="L193" s="1083"/>
      <c r="M193" s="1083"/>
      <c r="N193" s="1083"/>
      <c r="O193" s="1083"/>
      <c r="P193" s="1083"/>
      <c r="Q193" s="1083"/>
      <c r="R193" s="1083"/>
      <c r="S193" s="1083"/>
    </row>
    <row r="194" spans="1:19">
      <c r="A194" s="215" t="s">
        <v>347</v>
      </c>
      <c r="B194" s="1082" t="s">
        <v>178</v>
      </c>
      <c r="C194" s="1082"/>
      <c r="D194" s="185" t="s">
        <v>139</v>
      </c>
      <c r="E194" s="241" t="s">
        <v>150</v>
      </c>
      <c r="F194" s="185" t="s">
        <v>139</v>
      </c>
      <c r="G194" s="245">
        <v>1</v>
      </c>
      <c r="H194" s="1080" t="s">
        <v>163</v>
      </c>
      <c r="I194" s="1081"/>
      <c r="J194" s="1083"/>
      <c r="K194" s="1083"/>
      <c r="L194" s="1083"/>
      <c r="M194" s="1083"/>
      <c r="N194" s="1083"/>
      <c r="O194" s="1083"/>
      <c r="P194" s="1083"/>
      <c r="Q194" s="1083"/>
      <c r="R194" s="1083"/>
      <c r="S194" s="1083"/>
    </row>
    <row r="195" spans="1:19">
      <c r="A195" s="215" t="s">
        <v>187</v>
      </c>
      <c r="B195" s="1082" t="s">
        <v>176</v>
      </c>
      <c r="C195" s="1082"/>
      <c r="D195" s="185" t="s">
        <v>139</v>
      </c>
      <c r="E195" s="241">
        <v>1.2999999999999999E-3</v>
      </c>
      <c r="F195" s="185" t="s">
        <v>139</v>
      </c>
      <c r="G195" s="245">
        <v>1</v>
      </c>
      <c r="H195" s="1080" t="s">
        <v>163</v>
      </c>
      <c r="I195" s="1081"/>
      <c r="J195" s="1083" t="s">
        <v>177</v>
      </c>
      <c r="K195" s="1083"/>
      <c r="L195" s="1083"/>
      <c r="M195" s="1083"/>
      <c r="N195" s="1083"/>
      <c r="O195" s="1083"/>
      <c r="P195" s="1083"/>
      <c r="Q195" s="1083"/>
      <c r="R195" s="1083"/>
      <c r="S195" s="1083"/>
    </row>
    <row r="196" spans="1:19">
      <c r="A196" s="215" t="s">
        <v>187</v>
      </c>
      <c r="B196" s="1082" t="s">
        <v>176</v>
      </c>
      <c r="C196" s="1082"/>
      <c r="D196" s="185" t="s">
        <v>139</v>
      </c>
      <c r="E196" s="241">
        <v>1.47E-2</v>
      </c>
      <c r="F196" s="185" t="s">
        <v>139</v>
      </c>
      <c r="G196" s="245">
        <v>1</v>
      </c>
      <c r="H196" s="1080" t="s">
        <v>163</v>
      </c>
      <c r="I196" s="1081"/>
      <c r="J196" s="1083" t="s">
        <v>177</v>
      </c>
      <c r="K196" s="1083"/>
      <c r="L196" s="1083"/>
      <c r="M196" s="1083"/>
      <c r="N196" s="1083"/>
      <c r="O196" s="1083"/>
      <c r="P196" s="1083"/>
      <c r="Q196" s="1083"/>
      <c r="R196" s="1083"/>
      <c r="S196" s="1083"/>
    </row>
    <row r="197" spans="1:19">
      <c r="A197" s="215" t="s">
        <v>187</v>
      </c>
      <c r="B197" s="1082" t="s">
        <v>188</v>
      </c>
      <c r="C197" s="1082"/>
      <c r="D197" s="185" t="s">
        <v>139</v>
      </c>
      <c r="E197" s="241">
        <v>0</v>
      </c>
      <c r="F197" s="185" t="s">
        <v>139</v>
      </c>
      <c r="G197" s="245">
        <v>1</v>
      </c>
      <c r="H197" s="1080" t="s">
        <v>163</v>
      </c>
      <c r="I197" s="1081"/>
      <c r="J197" s="1083"/>
      <c r="K197" s="1083"/>
      <c r="L197" s="1083"/>
      <c r="M197" s="1083"/>
      <c r="N197" s="1083"/>
      <c r="O197" s="1083"/>
      <c r="P197" s="1083"/>
      <c r="Q197" s="1083"/>
      <c r="R197" s="1083"/>
      <c r="S197" s="1083"/>
    </row>
    <row r="198" spans="1:19">
      <c r="A198" s="215" t="s">
        <v>187</v>
      </c>
      <c r="B198" s="1082" t="s">
        <v>188</v>
      </c>
      <c r="C198" s="1082"/>
      <c r="D198" s="185" t="s">
        <v>139</v>
      </c>
      <c r="E198" s="241">
        <v>1.2E-2</v>
      </c>
      <c r="F198" s="185" t="s">
        <v>139</v>
      </c>
      <c r="G198" s="245">
        <v>1</v>
      </c>
      <c r="H198" s="1080" t="s">
        <v>163</v>
      </c>
      <c r="I198" s="1081"/>
      <c r="J198" s="1083" t="s">
        <v>946</v>
      </c>
      <c r="K198" s="1083"/>
      <c r="L198" s="1083"/>
      <c r="M198" s="1083"/>
      <c r="N198" s="1083"/>
      <c r="O198" s="1083"/>
      <c r="P198" s="1083"/>
      <c r="Q198" s="1083"/>
      <c r="R198" s="1083"/>
      <c r="S198" s="1083"/>
    </row>
    <row r="199" spans="1:19">
      <c r="A199" s="215" t="s">
        <v>187</v>
      </c>
      <c r="B199" s="1082" t="s">
        <v>186</v>
      </c>
      <c r="C199" s="1082"/>
      <c r="D199" s="185" t="s">
        <v>139</v>
      </c>
      <c r="E199" s="241" t="s">
        <v>150</v>
      </c>
      <c r="F199" s="185" t="s">
        <v>139</v>
      </c>
      <c r="G199" s="245">
        <v>1</v>
      </c>
      <c r="H199" s="1080" t="s">
        <v>168</v>
      </c>
      <c r="I199" s="1081"/>
      <c r="J199" s="1083" t="s">
        <v>926</v>
      </c>
      <c r="K199" s="1083"/>
      <c r="L199" s="1083"/>
      <c r="M199" s="1083"/>
      <c r="N199" s="1083"/>
      <c r="O199" s="1083"/>
      <c r="P199" s="1083"/>
      <c r="Q199" s="1083"/>
      <c r="R199" s="1083"/>
      <c r="S199" s="1083"/>
    </row>
    <row r="200" spans="1:19">
      <c r="A200" s="215" t="s">
        <v>186</v>
      </c>
      <c r="B200" s="1082" t="s">
        <v>175</v>
      </c>
      <c r="C200" s="1082"/>
      <c r="D200" s="185" t="s">
        <v>139</v>
      </c>
      <c r="E200" s="241" t="s">
        <v>150</v>
      </c>
      <c r="F200" s="185" t="s">
        <v>139</v>
      </c>
      <c r="G200" s="245">
        <v>1</v>
      </c>
      <c r="H200" s="1080" t="s">
        <v>163</v>
      </c>
      <c r="I200" s="1081"/>
      <c r="J200" s="1083"/>
      <c r="K200" s="1083"/>
      <c r="L200" s="1083"/>
      <c r="M200" s="1083"/>
      <c r="N200" s="1083"/>
      <c r="O200" s="1083"/>
      <c r="P200" s="1083"/>
      <c r="Q200" s="1083"/>
      <c r="R200" s="1083"/>
      <c r="S200" s="1083"/>
    </row>
    <row r="201" spans="1:19">
      <c r="A201" s="215" t="s">
        <v>186</v>
      </c>
      <c r="B201" s="1082" t="s">
        <v>204</v>
      </c>
      <c r="C201" s="1082"/>
      <c r="D201" s="185" t="s">
        <v>139</v>
      </c>
      <c r="E201" s="241">
        <v>2.7E-4</v>
      </c>
      <c r="F201" s="185" t="s">
        <v>139</v>
      </c>
      <c r="G201" s="245">
        <v>2</v>
      </c>
      <c r="H201" s="1080" t="s">
        <v>163</v>
      </c>
      <c r="I201" s="1081"/>
      <c r="J201" s="1083"/>
      <c r="K201" s="1083"/>
      <c r="L201" s="1083"/>
      <c r="M201" s="1083"/>
      <c r="N201" s="1083"/>
      <c r="O201" s="1083"/>
      <c r="P201" s="1083"/>
      <c r="Q201" s="1083"/>
      <c r="R201" s="1083"/>
      <c r="S201" s="1083"/>
    </row>
    <row r="202" spans="1:19">
      <c r="A202" s="215" t="s">
        <v>172</v>
      </c>
      <c r="B202" s="1082" t="s">
        <v>176</v>
      </c>
      <c r="C202" s="1082"/>
      <c r="D202" s="185" t="s">
        <v>139</v>
      </c>
      <c r="E202" s="241">
        <v>1.2999999999999999E-3</v>
      </c>
      <c r="F202" s="185" t="s">
        <v>139</v>
      </c>
      <c r="G202" s="245">
        <v>1</v>
      </c>
      <c r="H202" s="1080" t="s">
        <v>163</v>
      </c>
      <c r="I202" s="1081"/>
      <c r="J202" s="1083" t="s">
        <v>177</v>
      </c>
      <c r="K202" s="1083"/>
      <c r="L202" s="1083"/>
      <c r="M202" s="1083"/>
      <c r="N202" s="1083"/>
      <c r="O202" s="1083"/>
      <c r="P202" s="1083"/>
      <c r="Q202" s="1083"/>
      <c r="R202" s="1083"/>
      <c r="S202" s="1083"/>
    </row>
    <row r="203" spans="1:19">
      <c r="A203" s="215" t="s">
        <v>172</v>
      </c>
      <c r="B203" s="1082" t="s">
        <v>176</v>
      </c>
      <c r="C203" s="1082"/>
      <c r="D203" s="185" t="s">
        <v>139</v>
      </c>
      <c r="E203" s="241">
        <v>1.47E-2</v>
      </c>
      <c r="F203" s="185" t="s">
        <v>139</v>
      </c>
      <c r="G203" s="245">
        <v>1</v>
      </c>
      <c r="H203" s="1080" t="s">
        <v>163</v>
      </c>
      <c r="I203" s="1081"/>
      <c r="J203" s="1083" t="s">
        <v>177</v>
      </c>
      <c r="K203" s="1083"/>
      <c r="L203" s="1083"/>
      <c r="M203" s="1083"/>
      <c r="N203" s="1083"/>
      <c r="O203" s="1083"/>
      <c r="P203" s="1083"/>
      <c r="Q203" s="1083"/>
      <c r="R203" s="1083"/>
      <c r="S203" s="1083"/>
    </row>
    <row r="204" spans="1:19">
      <c r="A204" s="215" t="s">
        <v>172</v>
      </c>
      <c r="B204" s="1082" t="s">
        <v>171</v>
      </c>
      <c r="C204" s="1082"/>
      <c r="D204" s="185" t="s">
        <v>139</v>
      </c>
      <c r="E204" s="241" t="s">
        <v>150</v>
      </c>
      <c r="F204" s="185" t="s">
        <v>139</v>
      </c>
      <c r="G204" s="245">
        <v>1</v>
      </c>
      <c r="H204" s="1080" t="s">
        <v>168</v>
      </c>
      <c r="I204" s="1081"/>
      <c r="J204" s="1083" t="s">
        <v>926</v>
      </c>
      <c r="K204" s="1083"/>
      <c r="L204" s="1083"/>
      <c r="M204" s="1083"/>
      <c r="N204" s="1083"/>
      <c r="O204" s="1083"/>
      <c r="P204" s="1083"/>
      <c r="Q204" s="1083"/>
      <c r="R204" s="1083"/>
      <c r="S204" s="1083"/>
    </row>
    <row r="205" spans="1:19">
      <c r="A205" s="215" t="s">
        <v>171</v>
      </c>
      <c r="B205" s="1082" t="s">
        <v>175</v>
      </c>
      <c r="C205" s="1082"/>
      <c r="D205" s="185" t="s">
        <v>139</v>
      </c>
      <c r="E205" s="241" t="s">
        <v>150</v>
      </c>
      <c r="F205" s="185" t="s">
        <v>139</v>
      </c>
      <c r="G205" s="245">
        <v>1</v>
      </c>
      <c r="H205" s="1080" t="s">
        <v>163</v>
      </c>
      <c r="I205" s="1081"/>
      <c r="J205" s="1083"/>
      <c r="K205" s="1083"/>
      <c r="L205" s="1083"/>
      <c r="M205" s="1083"/>
      <c r="N205" s="1083"/>
      <c r="O205" s="1083"/>
      <c r="P205" s="1083"/>
      <c r="Q205" s="1083"/>
      <c r="R205" s="1083"/>
      <c r="S205" s="1083"/>
    </row>
    <row r="206" spans="1:19">
      <c r="A206" s="215" t="s">
        <v>171</v>
      </c>
      <c r="B206" s="1082" t="s">
        <v>204</v>
      </c>
      <c r="C206" s="1082"/>
      <c r="D206" s="185" t="s">
        <v>139</v>
      </c>
      <c r="E206" s="241">
        <v>2.7E-4</v>
      </c>
      <c r="F206" s="185" t="s">
        <v>139</v>
      </c>
      <c r="G206" s="245">
        <v>2</v>
      </c>
      <c r="H206" s="1080" t="s">
        <v>163</v>
      </c>
      <c r="I206" s="1081"/>
      <c r="J206" s="1083"/>
      <c r="K206" s="1083"/>
      <c r="L206" s="1083"/>
      <c r="M206" s="1083"/>
      <c r="N206" s="1083"/>
      <c r="O206" s="1083"/>
      <c r="P206" s="1083"/>
      <c r="Q206" s="1083"/>
      <c r="R206" s="1083"/>
      <c r="S206" s="1083"/>
    </row>
    <row r="207" spans="1:19">
      <c r="A207" s="215" t="s">
        <v>238</v>
      </c>
      <c r="B207" s="1082" t="s">
        <v>204</v>
      </c>
      <c r="C207" s="1082"/>
      <c r="D207" s="185" t="s">
        <v>139</v>
      </c>
      <c r="E207" s="241">
        <v>2.7E-4</v>
      </c>
      <c r="F207" s="185" t="s">
        <v>139</v>
      </c>
      <c r="G207" s="245">
        <v>2</v>
      </c>
      <c r="H207" s="1080" t="s">
        <v>163</v>
      </c>
      <c r="I207" s="1081"/>
      <c r="J207" s="1083"/>
      <c r="K207" s="1083"/>
      <c r="L207" s="1083"/>
      <c r="M207" s="1083"/>
      <c r="N207" s="1083"/>
      <c r="O207" s="1083"/>
      <c r="P207" s="1083"/>
      <c r="Q207" s="1083"/>
      <c r="R207" s="1083"/>
      <c r="S207" s="1083"/>
    </row>
    <row r="208" spans="1:19">
      <c r="A208" s="215" t="s">
        <v>238</v>
      </c>
      <c r="B208" s="1082" t="s">
        <v>223</v>
      </c>
      <c r="C208" s="1082"/>
      <c r="D208" s="185" t="s">
        <v>139</v>
      </c>
      <c r="E208" s="241" t="s">
        <v>150</v>
      </c>
      <c r="F208" s="185" t="s">
        <v>139</v>
      </c>
      <c r="G208" s="245">
        <v>1</v>
      </c>
      <c r="H208" s="1080" t="s">
        <v>163</v>
      </c>
      <c r="I208" s="1081"/>
      <c r="J208" s="1083"/>
      <c r="K208" s="1083"/>
      <c r="L208" s="1083"/>
      <c r="M208" s="1083"/>
      <c r="N208" s="1083"/>
      <c r="O208" s="1083"/>
      <c r="P208" s="1083"/>
      <c r="Q208" s="1083"/>
      <c r="R208" s="1083"/>
      <c r="S208" s="1083"/>
    </row>
    <row r="209" spans="1:29">
      <c r="A209" s="215" t="s">
        <v>359</v>
      </c>
      <c r="B209" s="1082" t="s">
        <v>231</v>
      </c>
      <c r="C209" s="1082"/>
      <c r="D209" s="185" t="s">
        <v>139</v>
      </c>
      <c r="E209" s="241">
        <v>4.0000000000000002E-4</v>
      </c>
      <c r="F209" s="185" t="s">
        <v>139</v>
      </c>
      <c r="G209" s="245">
        <v>1</v>
      </c>
      <c r="H209" s="1080" t="s">
        <v>163</v>
      </c>
      <c r="I209" s="1081"/>
      <c r="J209" s="1083" t="s">
        <v>947</v>
      </c>
      <c r="K209" s="1083"/>
      <c r="L209" s="1083"/>
      <c r="M209" s="1083"/>
      <c r="N209" s="1083"/>
      <c r="O209" s="1083"/>
      <c r="P209" s="1083"/>
      <c r="Q209" s="1083"/>
      <c r="R209" s="1083"/>
      <c r="S209" s="1083"/>
    </row>
    <row r="210" spans="1:29">
      <c r="A210" s="215" t="s">
        <v>359</v>
      </c>
      <c r="B210" s="1082" t="s">
        <v>231</v>
      </c>
      <c r="C210" s="1082"/>
      <c r="D210" s="185" t="s">
        <v>139</v>
      </c>
      <c r="E210" s="241">
        <v>8.6E-3</v>
      </c>
      <c r="F210" s="185" t="s">
        <v>139</v>
      </c>
      <c r="G210" s="245">
        <v>1</v>
      </c>
      <c r="H210" s="1080" t="s">
        <v>163</v>
      </c>
      <c r="I210" s="1081"/>
      <c r="J210" s="1083" t="s">
        <v>948</v>
      </c>
      <c r="K210" s="1083"/>
      <c r="L210" s="1083"/>
      <c r="M210" s="1083"/>
      <c r="N210" s="1083"/>
      <c r="O210" s="1083"/>
      <c r="P210" s="1083"/>
      <c r="Q210" s="1083"/>
      <c r="R210" s="1083"/>
      <c r="S210" s="1083"/>
    </row>
    <row r="211" spans="1:29">
      <c r="A211" s="215" t="s">
        <v>359</v>
      </c>
      <c r="B211" s="1085" t="s">
        <v>251</v>
      </c>
      <c r="C211" s="1086"/>
      <c r="D211" s="185" t="s">
        <v>139</v>
      </c>
      <c r="E211" s="241">
        <v>2.5000000000000001E-3</v>
      </c>
      <c r="F211" s="185" t="s">
        <v>139</v>
      </c>
      <c r="G211" s="245">
        <v>2</v>
      </c>
      <c r="H211" s="1080" t="s">
        <v>163</v>
      </c>
      <c r="I211" s="1081"/>
      <c r="J211" s="1083" t="s">
        <v>949</v>
      </c>
      <c r="K211" s="1083"/>
      <c r="L211" s="1083"/>
      <c r="M211" s="1083"/>
      <c r="N211" s="1083"/>
      <c r="O211" s="1083"/>
      <c r="P211" s="1083"/>
      <c r="Q211" s="1083"/>
      <c r="R211" s="1083"/>
      <c r="S211" s="1083"/>
    </row>
    <row r="212" spans="1:29">
      <c r="A212" s="215" t="s">
        <v>359</v>
      </c>
      <c r="B212" s="1085" t="s">
        <v>360</v>
      </c>
      <c r="C212" s="1086"/>
      <c r="D212" s="185" t="s">
        <v>139</v>
      </c>
      <c r="E212" s="241">
        <v>2.5000000000000001E-3</v>
      </c>
      <c r="F212" s="185" t="s">
        <v>139</v>
      </c>
      <c r="G212" s="245">
        <v>2</v>
      </c>
      <c r="H212" s="1080" t="s">
        <v>163</v>
      </c>
      <c r="I212" s="1081"/>
      <c r="J212" s="1083" t="s">
        <v>949</v>
      </c>
      <c r="K212" s="1083"/>
      <c r="L212" s="1083"/>
      <c r="M212" s="1083"/>
      <c r="N212" s="1083"/>
      <c r="O212" s="1083"/>
      <c r="P212" s="1083"/>
      <c r="Q212" s="1083"/>
      <c r="R212" s="1083"/>
      <c r="S212" s="1083"/>
    </row>
    <row r="213" spans="1:29">
      <c r="A213" s="215" t="s">
        <v>359</v>
      </c>
      <c r="B213" s="1085" t="s">
        <v>232</v>
      </c>
      <c r="C213" s="1086"/>
      <c r="D213" s="185" t="s">
        <v>139</v>
      </c>
      <c r="E213" s="241">
        <v>2.5000000000000001E-3</v>
      </c>
      <c r="F213" s="185" t="s">
        <v>139</v>
      </c>
      <c r="G213" s="245">
        <v>2</v>
      </c>
      <c r="H213" s="1080" t="s">
        <v>163</v>
      </c>
      <c r="I213" s="1081"/>
      <c r="J213" s="1083" t="s">
        <v>949</v>
      </c>
      <c r="K213" s="1083"/>
      <c r="L213" s="1083"/>
      <c r="M213" s="1083"/>
      <c r="N213" s="1083"/>
      <c r="O213" s="1083"/>
      <c r="P213" s="1083"/>
      <c r="Q213" s="1083"/>
      <c r="R213" s="1083"/>
      <c r="S213" s="1083"/>
    </row>
    <row r="214" spans="1:29">
      <c r="A214" s="215" t="s">
        <v>359</v>
      </c>
      <c r="B214" s="1085" t="s">
        <v>266</v>
      </c>
      <c r="C214" s="1086"/>
      <c r="D214" s="185" t="s">
        <v>139</v>
      </c>
      <c r="E214" s="241">
        <v>2.5000000000000001E-3</v>
      </c>
      <c r="F214" s="185" t="s">
        <v>139</v>
      </c>
      <c r="G214" s="245">
        <v>2</v>
      </c>
      <c r="H214" s="1080" t="s">
        <v>163</v>
      </c>
      <c r="I214" s="1081"/>
      <c r="J214" s="1083" t="s">
        <v>949</v>
      </c>
      <c r="K214" s="1083"/>
      <c r="L214" s="1083"/>
      <c r="M214" s="1083"/>
      <c r="N214" s="1083"/>
      <c r="O214" s="1083"/>
      <c r="P214" s="1083"/>
      <c r="Q214" s="1083"/>
      <c r="R214" s="1083"/>
      <c r="S214" s="1083"/>
    </row>
    <row r="215" spans="1:29">
      <c r="A215" s="215" t="s">
        <v>359</v>
      </c>
      <c r="B215" s="1085" t="s">
        <v>349</v>
      </c>
      <c r="C215" s="1086"/>
      <c r="D215" s="185" t="s">
        <v>139</v>
      </c>
      <c r="E215" s="241" t="s">
        <v>150</v>
      </c>
      <c r="F215" s="185" t="s">
        <v>139</v>
      </c>
      <c r="G215" s="245">
        <v>1</v>
      </c>
      <c r="H215" s="1080" t="s">
        <v>168</v>
      </c>
      <c r="I215" s="1081"/>
      <c r="J215" s="1083" t="s">
        <v>926</v>
      </c>
      <c r="K215" s="1083"/>
      <c r="L215" s="1083"/>
      <c r="M215" s="1083"/>
      <c r="N215" s="1083"/>
      <c r="O215" s="1083"/>
      <c r="P215" s="1083"/>
      <c r="Q215" s="1083"/>
      <c r="R215" s="1083"/>
      <c r="S215" s="1083"/>
    </row>
    <row r="216" spans="1:29">
      <c r="A216" s="215" t="s">
        <v>349</v>
      </c>
      <c r="B216" s="1085" t="s">
        <v>204</v>
      </c>
      <c r="C216" s="1086"/>
      <c r="D216" s="185" t="s">
        <v>139</v>
      </c>
      <c r="E216" s="241">
        <v>2.7E-4</v>
      </c>
      <c r="F216" s="185" t="s">
        <v>139</v>
      </c>
      <c r="G216" s="245">
        <v>2</v>
      </c>
      <c r="H216" s="1080" t="s">
        <v>163</v>
      </c>
      <c r="I216" s="1081"/>
      <c r="J216" s="1083"/>
      <c r="K216" s="1083"/>
      <c r="L216" s="1083"/>
      <c r="M216" s="1083"/>
      <c r="N216" s="1083"/>
      <c r="O216" s="1083"/>
      <c r="P216" s="1083"/>
      <c r="Q216" s="1083"/>
      <c r="R216" s="1083"/>
      <c r="S216" s="1083"/>
    </row>
    <row r="217" spans="1:29">
      <c r="A217" s="215" t="s">
        <v>349</v>
      </c>
      <c r="B217" s="1085" t="s">
        <v>223</v>
      </c>
      <c r="C217" s="1086"/>
      <c r="D217" s="185" t="s">
        <v>139</v>
      </c>
      <c r="E217" s="241" t="s">
        <v>150</v>
      </c>
      <c r="F217" s="185" t="s">
        <v>139</v>
      </c>
      <c r="G217" s="245">
        <v>1</v>
      </c>
      <c r="H217" s="1080" t="s">
        <v>163</v>
      </c>
      <c r="I217" s="1081"/>
      <c r="J217" s="1083"/>
      <c r="K217" s="1083"/>
      <c r="L217" s="1083"/>
      <c r="M217" s="1083"/>
      <c r="N217" s="1083"/>
      <c r="O217" s="1083"/>
      <c r="P217" s="1083"/>
      <c r="Q217" s="1083"/>
      <c r="R217" s="1083"/>
      <c r="S217" s="1083"/>
    </row>
    <row r="218" spans="1:29">
      <c r="A218" s="215" t="s">
        <v>349</v>
      </c>
      <c r="B218" s="1085" t="s">
        <v>225</v>
      </c>
      <c r="C218" s="1086"/>
      <c r="D218" s="185" t="s">
        <v>139</v>
      </c>
      <c r="E218" s="241">
        <f>'Textile waste collection'!E18</f>
        <v>0.33810000000000001</v>
      </c>
      <c r="F218" s="185" t="s">
        <v>139</v>
      </c>
      <c r="G218" s="245">
        <v>1</v>
      </c>
      <c r="H218" s="1080" t="s">
        <v>163</v>
      </c>
      <c r="I218" s="1081"/>
      <c r="J218" s="1083" t="s">
        <v>422</v>
      </c>
      <c r="K218" s="1083"/>
      <c r="L218" s="1083"/>
      <c r="M218" s="1083"/>
      <c r="N218" s="1083"/>
      <c r="O218" s="1083"/>
      <c r="P218" s="1083"/>
      <c r="Q218" s="1083"/>
      <c r="R218" s="1083"/>
      <c r="S218" s="1083"/>
    </row>
    <row r="219" spans="1:29" s="988" customFormat="1">
      <c r="A219" s="984" t="s">
        <v>225</v>
      </c>
      <c r="B219" s="1084" t="s">
        <v>248</v>
      </c>
      <c r="C219" s="1084"/>
      <c r="D219" s="984" t="s">
        <v>139</v>
      </c>
      <c r="E219" s="985">
        <v>1.44E-2</v>
      </c>
      <c r="F219" s="984" t="s">
        <v>139</v>
      </c>
      <c r="G219" s="986">
        <v>1</v>
      </c>
      <c r="H219" s="1078" t="s">
        <v>224</v>
      </c>
      <c r="I219" s="1079"/>
      <c r="J219" s="1084"/>
      <c r="K219" s="1084"/>
      <c r="L219" s="1084"/>
      <c r="M219" s="1084"/>
      <c r="N219" s="1084"/>
      <c r="O219" s="1084"/>
      <c r="P219" s="1084"/>
      <c r="Q219" s="1084"/>
      <c r="R219" s="1084"/>
      <c r="S219" s="1084"/>
      <c r="T219" s="987"/>
      <c r="U219" s="987"/>
      <c r="V219" s="987"/>
      <c r="W219" s="987"/>
      <c r="X219" s="987"/>
      <c r="Y219" s="987"/>
      <c r="Z219" s="987"/>
      <c r="AA219" s="987"/>
      <c r="AB219" s="987"/>
      <c r="AC219" s="987"/>
    </row>
    <row r="220" spans="1:29" s="988" customFormat="1">
      <c r="A220" s="984" t="s">
        <v>225</v>
      </c>
      <c r="B220" s="1084" t="s">
        <v>245</v>
      </c>
      <c r="C220" s="1084"/>
      <c r="D220" s="984" t="s">
        <v>139</v>
      </c>
      <c r="E220" s="985">
        <v>0.84</v>
      </c>
      <c r="F220" s="984" t="s">
        <v>139</v>
      </c>
      <c r="G220" s="986">
        <v>1</v>
      </c>
      <c r="H220" s="1078" t="s">
        <v>224</v>
      </c>
      <c r="I220" s="1079"/>
      <c r="J220" s="1084"/>
      <c r="K220" s="1084"/>
      <c r="L220" s="1084"/>
      <c r="M220" s="1084"/>
      <c r="N220" s="1084"/>
      <c r="O220" s="1084"/>
      <c r="P220" s="1084"/>
      <c r="Q220" s="1084"/>
      <c r="R220" s="1084"/>
      <c r="S220" s="1084"/>
      <c r="T220" s="987"/>
      <c r="U220" s="987"/>
      <c r="V220" s="987"/>
      <c r="W220" s="987"/>
      <c r="X220" s="987"/>
      <c r="Y220" s="987"/>
      <c r="Z220" s="987"/>
      <c r="AA220" s="987"/>
      <c r="AB220" s="987"/>
      <c r="AC220" s="987"/>
    </row>
    <row r="221" spans="1:29" s="988" customFormat="1">
      <c r="A221" s="984" t="s">
        <v>225</v>
      </c>
      <c r="B221" s="1084" t="s">
        <v>421</v>
      </c>
      <c r="C221" s="1084"/>
      <c r="D221" s="984" t="s">
        <v>139</v>
      </c>
      <c r="E221" s="985">
        <v>4.48E-2</v>
      </c>
      <c r="F221" s="984" t="s">
        <v>139</v>
      </c>
      <c r="G221" s="986">
        <v>1</v>
      </c>
      <c r="H221" s="1078" t="s">
        <v>224</v>
      </c>
      <c r="I221" s="1079"/>
      <c r="J221" s="1084"/>
      <c r="K221" s="1084"/>
      <c r="L221" s="1084"/>
      <c r="M221" s="1084"/>
      <c r="N221" s="1084"/>
      <c r="O221" s="1084"/>
      <c r="P221" s="1084"/>
      <c r="Q221" s="1084"/>
      <c r="R221" s="1084"/>
      <c r="S221" s="1084"/>
      <c r="T221" s="987"/>
      <c r="U221" s="987"/>
      <c r="V221" s="987"/>
      <c r="W221" s="987"/>
      <c r="X221" s="987"/>
      <c r="Y221" s="987"/>
      <c r="Z221" s="987"/>
      <c r="AA221" s="987"/>
      <c r="AB221" s="987"/>
      <c r="AC221" s="987"/>
    </row>
    <row r="222" spans="1:29" s="988" customFormat="1">
      <c r="A222" s="984" t="s">
        <v>225</v>
      </c>
      <c r="B222" s="1084" t="s">
        <v>184</v>
      </c>
      <c r="C222" s="1084"/>
      <c r="D222" s="984" t="s">
        <v>139</v>
      </c>
      <c r="E222" s="985">
        <v>3.0000000000000001E-3</v>
      </c>
      <c r="F222" s="984" t="s">
        <v>139</v>
      </c>
      <c r="G222" s="986">
        <v>1</v>
      </c>
      <c r="H222" s="1078" t="s">
        <v>224</v>
      </c>
      <c r="I222" s="1079"/>
      <c r="J222" s="1084"/>
      <c r="K222" s="1084"/>
      <c r="L222" s="1084"/>
      <c r="M222" s="1084"/>
      <c r="N222" s="1084"/>
      <c r="O222" s="1084"/>
      <c r="P222" s="1084"/>
      <c r="Q222" s="1084"/>
      <c r="R222" s="1084"/>
      <c r="S222" s="1084"/>
      <c r="T222" s="987"/>
      <c r="U222" s="987"/>
      <c r="V222" s="987"/>
      <c r="W222" s="987"/>
      <c r="X222" s="987"/>
      <c r="Y222" s="987"/>
      <c r="Z222" s="987"/>
      <c r="AA222" s="987"/>
      <c r="AB222" s="987"/>
      <c r="AC222" s="987"/>
    </row>
    <row r="223" spans="1:29" s="988" customFormat="1">
      <c r="A223" s="984" t="s">
        <v>225</v>
      </c>
      <c r="B223" s="1084" t="s">
        <v>179</v>
      </c>
      <c r="C223" s="1084"/>
      <c r="D223" s="984" t="s">
        <v>139</v>
      </c>
      <c r="E223" s="985">
        <v>9.6000000000000002E-2</v>
      </c>
      <c r="F223" s="984" t="s">
        <v>139</v>
      </c>
      <c r="G223" s="986">
        <v>1</v>
      </c>
      <c r="H223" s="1078" t="s">
        <v>224</v>
      </c>
      <c r="I223" s="1079"/>
      <c r="J223" s="1084"/>
      <c r="K223" s="1084"/>
      <c r="L223" s="1084"/>
      <c r="M223" s="1084"/>
      <c r="N223" s="1084"/>
      <c r="O223" s="1084"/>
      <c r="P223" s="1084"/>
      <c r="Q223" s="1084"/>
      <c r="R223" s="1084"/>
      <c r="S223" s="1084"/>
      <c r="T223" s="987"/>
      <c r="U223" s="987"/>
      <c r="V223" s="987"/>
      <c r="W223" s="987"/>
      <c r="X223" s="987"/>
      <c r="Y223" s="987"/>
      <c r="Z223" s="987"/>
      <c r="AA223" s="987"/>
      <c r="AB223" s="987"/>
      <c r="AC223" s="987"/>
    </row>
    <row r="224" spans="1:29" s="988" customFormat="1">
      <c r="A224" s="984" t="s">
        <v>225</v>
      </c>
      <c r="B224" s="1084" t="s">
        <v>176</v>
      </c>
      <c r="C224" s="1084"/>
      <c r="D224" s="984" t="s">
        <v>139</v>
      </c>
      <c r="E224" s="985" t="s">
        <v>150</v>
      </c>
      <c r="F224" s="984" t="s">
        <v>139</v>
      </c>
      <c r="G224" s="986">
        <v>1</v>
      </c>
      <c r="H224" s="1078" t="s">
        <v>168</v>
      </c>
      <c r="I224" s="1079"/>
      <c r="J224" s="1084"/>
      <c r="K224" s="1084"/>
      <c r="L224" s="1084"/>
      <c r="M224" s="1084"/>
      <c r="N224" s="1084"/>
      <c r="O224" s="1084"/>
      <c r="P224" s="1084"/>
      <c r="Q224" s="1084"/>
      <c r="R224" s="1084"/>
      <c r="S224" s="1084"/>
      <c r="T224" s="987"/>
      <c r="U224" s="987"/>
      <c r="V224" s="987"/>
      <c r="W224" s="987"/>
      <c r="X224" s="987"/>
      <c r="Y224" s="987"/>
      <c r="Z224" s="987"/>
      <c r="AA224" s="987"/>
      <c r="AB224" s="987"/>
      <c r="AC224" s="987"/>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941" customFormat="1">
      <c r="N253"/>
      <c r="O253"/>
      <c r="P253"/>
    </row>
    <row r="254" spans="14:16" s="941" customFormat="1">
      <c r="N254"/>
      <c r="O254"/>
      <c r="P254"/>
    </row>
    <row r="255" spans="14:16" s="941" customFormat="1">
      <c r="N255"/>
      <c r="O255"/>
      <c r="P255"/>
    </row>
    <row r="256" spans="14:16" s="941" customFormat="1">
      <c r="N256"/>
      <c r="O256"/>
      <c r="P256"/>
    </row>
    <row r="257" spans="14:16" s="941" customFormat="1">
      <c r="N257"/>
      <c r="O257"/>
      <c r="P257"/>
    </row>
    <row r="258" spans="14:16" s="941" customFormat="1">
      <c r="N258"/>
      <c r="O258"/>
      <c r="P258"/>
    </row>
    <row r="259" spans="14:16">
      <c r="N259"/>
      <c r="O259"/>
      <c r="P259"/>
    </row>
    <row r="260" spans="14:16">
      <c r="N260"/>
      <c r="O260"/>
      <c r="P260"/>
    </row>
    <row r="261" spans="14:16">
      <c r="N261"/>
      <c r="O261"/>
      <c r="P261"/>
    </row>
  </sheetData>
  <mergeCells count="708">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 ref="E21:F21"/>
    <mergeCell ref="G20:H20"/>
    <mergeCell ref="G21:H21"/>
    <mergeCell ref="I20:J20"/>
    <mergeCell ref="I21:J21"/>
    <mergeCell ref="M14:S14"/>
    <mergeCell ref="M15:S15"/>
    <mergeCell ref="M16:S16"/>
    <mergeCell ref="M17:S17"/>
    <mergeCell ref="A19:S19"/>
    <mergeCell ref="K20:S20"/>
    <mergeCell ref="K21:S21"/>
    <mergeCell ref="E32:F32"/>
    <mergeCell ref="E33:F33"/>
    <mergeCell ref="E34:F34"/>
    <mergeCell ref="E35:F35"/>
    <mergeCell ref="E36:F36"/>
    <mergeCell ref="E27:F27"/>
    <mergeCell ref="E28:F28"/>
    <mergeCell ref="E29:F29"/>
    <mergeCell ref="E30:F30"/>
    <mergeCell ref="E31:F31"/>
    <mergeCell ref="G32:H32"/>
    <mergeCell ref="G33:H33"/>
    <mergeCell ref="G34:H34"/>
    <mergeCell ref="G35:H35"/>
    <mergeCell ref="G36:H36"/>
    <mergeCell ref="G27:H27"/>
    <mergeCell ref="G28:H28"/>
    <mergeCell ref="G29:H29"/>
    <mergeCell ref="G30:H30"/>
    <mergeCell ref="G31:H31"/>
    <mergeCell ref="I32:J32"/>
    <mergeCell ref="I33:J33"/>
    <mergeCell ref="I34:J34"/>
    <mergeCell ref="I35:J35"/>
    <mergeCell ref="I36:J36"/>
    <mergeCell ref="I27:J27"/>
    <mergeCell ref="I28:J28"/>
    <mergeCell ref="I29:J29"/>
    <mergeCell ref="I30:J30"/>
    <mergeCell ref="I31:J31"/>
    <mergeCell ref="K32:S32"/>
    <mergeCell ref="K33:S33"/>
    <mergeCell ref="K34:S34"/>
    <mergeCell ref="K35:S35"/>
    <mergeCell ref="K36:S36"/>
    <mergeCell ref="K28:S28"/>
    <mergeCell ref="K29:S29"/>
    <mergeCell ref="K30:S30"/>
    <mergeCell ref="K31:S31"/>
    <mergeCell ref="K22:S22"/>
    <mergeCell ref="K23:S23"/>
    <mergeCell ref="K24:S24"/>
    <mergeCell ref="K25:S25"/>
    <mergeCell ref="K26:S26"/>
    <mergeCell ref="K27:S27"/>
    <mergeCell ref="I22:J22"/>
    <mergeCell ref="I23:J23"/>
    <mergeCell ref="I24:J24"/>
    <mergeCell ref="I25:J25"/>
    <mergeCell ref="I26:J26"/>
    <mergeCell ref="G22:H22"/>
    <mergeCell ref="G23:H23"/>
    <mergeCell ref="G24:H24"/>
    <mergeCell ref="G25:H25"/>
    <mergeCell ref="G26:H26"/>
    <mergeCell ref="E22:F22"/>
    <mergeCell ref="E23:F23"/>
    <mergeCell ref="E24:F24"/>
    <mergeCell ref="E25:F25"/>
    <mergeCell ref="E26:F26"/>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97:F97"/>
    <mergeCell ref="G97:I97"/>
    <mergeCell ref="J97:L97"/>
    <mergeCell ref="D103:F103"/>
    <mergeCell ref="G103:I103"/>
    <mergeCell ref="J103:L103"/>
    <mergeCell ref="D101:F101"/>
    <mergeCell ref="G101:I101"/>
    <mergeCell ref="J101:L101"/>
    <mergeCell ref="D102:F102"/>
    <mergeCell ref="G102:I102"/>
    <mergeCell ref="J102:L102"/>
    <mergeCell ref="M43:S43"/>
    <mergeCell ref="M44:S44"/>
    <mergeCell ref="M45:S45"/>
    <mergeCell ref="M46:S46"/>
    <mergeCell ref="M47:S47"/>
    <mergeCell ref="M48:S48"/>
    <mergeCell ref="M49:S49"/>
    <mergeCell ref="M50:S50"/>
    <mergeCell ref="M51:S51"/>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B110:C110"/>
    <mergeCell ref="B111:C111"/>
    <mergeCell ref="B116:C116"/>
    <mergeCell ref="B112:C112"/>
    <mergeCell ref="B113:C113"/>
    <mergeCell ref="B114:C114"/>
    <mergeCell ref="B115:C115"/>
    <mergeCell ref="A107:S107"/>
    <mergeCell ref="B108:C108"/>
    <mergeCell ref="B109:C109"/>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J131:K131"/>
    <mergeCell ref="L131:M131"/>
    <mergeCell ref="N131:O131"/>
    <mergeCell ref="P131:Q131"/>
    <mergeCell ref="R131:S131"/>
    <mergeCell ref="L129:M129"/>
    <mergeCell ref="N129:O129"/>
    <mergeCell ref="P129:Q129"/>
    <mergeCell ref="R129:S129"/>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T126:U126"/>
    <mergeCell ref="V126:W126"/>
    <mergeCell ref="X126:Y126"/>
    <mergeCell ref="Z126:AA126"/>
    <mergeCell ref="AB126:AC126"/>
    <mergeCell ref="T125:U125"/>
    <mergeCell ref="V125:W125"/>
    <mergeCell ref="X125:Y125"/>
    <mergeCell ref="Z125:AA125"/>
    <mergeCell ref="AB125:AC125"/>
    <mergeCell ref="T128:U128"/>
    <mergeCell ref="V128:W128"/>
    <mergeCell ref="X128:Y128"/>
    <mergeCell ref="Z128:AA128"/>
    <mergeCell ref="AB128:AC128"/>
    <mergeCell ref="T127:U127"/>
    <mergeCell ref="V127:W127"/>
    <mergeCell ref="X127:Y127"/>
    <mergeCell ref="Z127:AA127"/>
    <mergeCell ref="AB127:AC127"/>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98:C198"/>
    <mergeCell ref="B199:C199"/>
    <mergeCell ref="B182:C182"/>
    <mergeCell ref="B183:C183"/>
    <mergeCell ref="B184:C184"/>
    <mergeCell ref="B185:C185"/>
    <mergeCell ref="B186:C186"/>
    <mergeCell ref="B187:C187"/>
    <mergeCell ref="B188:C188"/>
    <mergeCell ref="B189:C189"/>
    <mergeCell ref="B190:C190"/>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7:S157"/>
    <mergeCell ref="J158:S158"/>
    <mergeCell ref="J159:S159"/>
    <mergeCell ref="J160:S160"/>
    <mergeCell ref="J161:S161"/>
    <mergeCell ref="J162:S162"/>
    <mergeCell ref="J163:S163"/>
    <mergeCell ref="J164:S164"/>
    <mergeCell ref="J165:S165"/>
    <mergeCell ref="J166:S166"/>
    <mergeCell ref="J167:S167"/>
    <mergeCell ref="J168:S168"/>
    <mergeCell ref="J169:S169"/>
    <mergeCell ref="J170:S170"/>
    <mergeCell ref="J171:S171"/>
    <mergeCell ref="J172:S172"/>
    <mergeCell ref="J173:S173"/>
    <mergeCell ref="J174:S174"/>
    <mergeCell ref="J175:S175"/>
    <mergeCell ref="J176:S176"/>
    <mergeCell ref="J177:S177"/>
    <mergeCell ref="J178:S178"/>
    <mergeCell ref="J179:S179"/>
    <mergeCell ref="J180:S180"/>
    <mergeCell ref="J181:S181"/>
    <mergeCell ref="J182:S182"/>
    <mergeCell ref="J183:S183"/>
    <mergeCell ref="J184:S184"/>
    <mergeCell ref="J185:S185"/>
    <mergeCell ref="J186:S186"/>
    <mergeCell ref="J187:S187"/>
    <mergeCell ref="J188:S188"/>
    <mergeCell ref="J189:S189"/>
    <mergeCell ref="J190:S190"/>
    <mergeCell ref="J191:S191"/>
    <mergeCell ref="J192:S192"/>
    <mergeCell ref="J193:S193"/>
    <mergeCell ref="J194:S194"/>
    <mergeCell ref="J195:S195"/>
    <mergeCell ref="J196:S196"/>
    <mergeCell ref="J197:S197"/>
    <mergeCell ref="J198:S198"/>
    <mergeCell ref="J199:S199"/>
    <mergeCell ref="J200:S200"/>
    <mergeCell ref="J201:S201"/>
    <mergeCell ref="J202:S202"/>
    <mergeCell ref="J203:S203"/>
    <mergeCell ref="J204:S204"/>
    <mergeCell ref="J205:S205"/>
    <mergeCell ref="J206:S206"/>
    <mergeCell ref="J207:S207"/>
    <mergeCell ref="J208:S208"/>
    <mergeCell ref="J217:S217"/>
    <mergeCell ref="J216:S21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9:I189"/>
    <mergeCell ref="H190:I190"/>
    <mergeCell ref="H191:I191"/>
    <mergeCell ref="H222:I222"/>
    <mergeCell ref="H223:I223"/>
    <mergeCell ref="H224:I224"/>
    <mergeCell ref="H207:I207"/>
    <mergeCell ref="H208:I208"/>
    <mergeCell ref="H209:I209"/>
    <mergeCell ref="H210:I210"/>
    <mergeCell ref="H211:I211"/>
    <mergeCell ref="H212:I212"/>
    <mergeCell ref="H213:I213"/>
    <mergeCell ref="H214:I214"/>
    <mergeCell ref="H215:I215"/>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51"/>
  <sheetViews>
    <sheetView topLeftCell="A18" workbookViewId="0">
      <selection activeCell="A48" sqref="A48"/>
    </sheetView>
  </sheetViews>
  <sheetFormatPr defaultRowHeight="14.4"/>
  <cols>
    <col min="1" max="1" width="31.44140625" customWidth="1"/>
    <col min="2" max="2" width="31.109375" bestFit="1" customWidth="1"/>
    <col min="7" max="7" width="74.88671875" customWidth="1"/>
  </cols>
  <sheetData>
    <row r="2" spans="1:13">
      <c r="A2" s="895" t="s">
        <v>2276</v>
      </c>
      <c r="B2" s="895"/>
      <c r="C2" s="895"/>
      <c r="D2" s="895"/>
      <c r="E2" s="895"/>
      <c r="F2" s="895"/>
      <c r="G2" s="895"/>
      <c r="H2" s="895"/>
      <c r="I2" s="895"/>
      <c r="J2" s="895"/>
      <c r="K2" s="895"/>
      <c r="L2" s="895"/>
      <c r="M2" s="895"/>
    </row>
    <row r="3" spans="1:13">
      <c r="A3" t="s">
        <v>2270</v>
      </c>
    </row>
    <row r="4" spans="1:13">
      <c r="A4" t="s">
        <v>2271</v>
      </c>
    </row>
    <row r="5" spans="1:13">
      <c r="A5" t="s">
        <v>2275</v>
      </c>
    </row>
    <row r="6" spans="1:13">
      <c r="A6" t="s">
        <v>2272</v>
      </c>
    </row>
    <row r="9" spans="1:13">
      <c r="A9" s="963" t="s">
        <v>2257</v>
      </c>
      <c r="B9" s="963"/>
      <c r="C9" s="963"/>
      <c r="D9" s="963"/>
      <c r="E9" s="963"/>
      <c r="F9" s="963"/>
      <c r="G9" s="963"/>
      <c r="H9" s="963"/>
      <c r="I9" s="963"/>
      <c r="J9" s="963"/>
      <c r="K9" s="963"/>
      <c r="L9" s="963"/>
      <c r="M9" s="963"/>
    </row>
    <row r="10" spans="1:13">
      <c r="A10" t="s">
        <v>2265</v>
      </c>
      <c r="B10">
        <v>108.5</v>
      </c>
      <c r="C10">
        <f>B10/B12</f>
        <v>0.50465116279069766</v>
      </c>
    </row>
    <row r="11" spans="1:13">
      <c r="A11" t="s">
        <v>2266</v>
      </c>
      <c r="B11">
        <v>106.5</v>
      </c>
      <c r="C11">
        <f>B11/B12</f>
        <v>0.49534883720930234</v>
      </c>
    </row>
    <row r="12" spans="1:13">
      <c r="A12" s="222" t="s">
        <v>1045</v>
      </c>
      <c r="B12" s="222">
        <f>SUM(B10:B11)</f>
        <v>215</v>
      </c>
    </row>
    <row r="13" spans="1:13" ht="15" thickBot="1">
      <c r="A13" s="222"/>
      <c r="B13" s="222"/>
    </row>
    <row r="14" spans="1:13" ht="15" thickBot="1">
      <c r="A14" s="65" t="s">
        <v>129</v>
      </c>
      <c r="B14" s="107" t="s">
        <v>130</v>
      </c>
      <c r="C14" s="108" t="s">
        <v>131</v>
      </c>
      <c r="D14" s="109" t="s">
        <v>102</v>
      </c>
      <c r="E14" s="226" t="s">
        <v>132</v>
      </c>
      <c r="F14" s="108" t="s">
        <v>133</v>
      </c>
      <c r="G14" s="110" t="s">
        <v>104</v>
      </c>
      <c r="H14" s="111" t="s">
        <v>134</v>
      </c>
      <c r="I14" s="112" t="s">
        <v>135</v>
      </c>
      <c r="J14" s="112" t="s">
        <v>65</v>
      </c>
      <c r="K14" s="112" t="s">
        <v>67</v>
      </c>
      <c r="L14" s="112" t="s">
        <v>73</v>
      </c>
      <c r="M14" s="113" t="s">
        <v>79</v>
      </c>
    </row>
    <row r="15" spans="1:13">
      <c r="A15" s="977" t="s">
        <v>2066</v>
      </c>
      <c r="B15" s="978" t="s">
        <v>2256</v>
      </c>
      <c r="C15" s="978" t="s">
        <v>139</v>
      </c>
      <c r="D15" s="978" t="s">
        <v>139</v>
      </c>
      <c r="E15" s="1032">
        <f>C10</f>
        <v>0.50465116279069766</v>
      </c>
      <c r="F15" s="978">
        <v>2</v>
      </c>
      <c r="G15" s="978" t="s">
        <v>2262</v>
      </c>
      <c r="H15" s="13">
        <v>1</v>
      </c>
      <c r="I15" s="13">
        <v>2</v>
      </c>
      <c r="J15" s="13">
        <v>2</v>
      </c>
      <c r="K15" s="13">
        <v>1</v>
      </c>
      <c r="L15" s="13">
        <v>2</v>
      </c>
      <c r="M15" s="292">
        <v>2</v>
      </c>
    </row>
    <row r="16" spans="1:13">
      <c r="A16" s="968" t="s">
        <v>190</v>
      </c>
      <c r="B16" s="224" t="s">
        <v>2263</v>
      </c>
      <c r="C16" s="224" t="s">
        <v>139</v>
      </c>
      <c r="D16" s="224" t="s">
        <v>139</v>
      </c>
      <c r="E16" s="1033">
        <f>C10</f>
        <v>0.50465116279069766</v>
      </c>
      <c r="F16" s="224">
        <v>2</v>
      </c>
      <c r="G16" s="224" t="s">
        <v>2262</v>
      </c>
      <c r="H16" s="10">
        <v>1</v>
      </c>
      <c r="I16" s="10">
        <v>2</v>
      </c>
      <c r="J16" s="10">
        <v>2</v>
      </c>
      <c r="K16" s="10">
        <v>1</v>
      </c>
      <c r="L16" s="10">
        <v>2</v>
      </c>
      <c r="M16" s="293">
        <v>2</v>
      </c>
    </row>
    <row r="17" spans="1:13">
      <c r="A17" s="968" t="s">
        <v>242</v>
      </c>
      <c r="B17" s="224" t="s">
        <v>2264</v>
      </c>
      <c r="C17" s="224" t="s">
        <v>139</v>
      </c>
      <c r="D17" s="224" t="s">
        <v>139</v>
      </c>
      <c r="E17" s="1033">
        <f>C10</f>
        <v>0.50465116279069766</v>
      </c>
      <c r="F17" s="224">
        <v>2</v>
      </c>
      <c r="G17" s="224" t="s">
        <v>2262</v>
      </c>
      <c r="H17" s="10">
        <v>1</v>
      </c>
      <c r="I17" s="10">
        <v>2</v>
      </c>
      <c r="J17" s="10">
        <v>2</v>
      </c>
      <c r="K17" s="10">
        <v>1</v>
      </c>
      <c r="L17" s="10">
        <v>2</v>
      </c>
      <c r="M17" s="293">
        <v>2</v>
      </c>
    </row>
    <row r="18" spans="1:13">
      <c r="A18" s="968" t="s">
        <v>349</v>
      </c>
      <c r="B18" s="224" t="s">
        <v>2264</v>
      </c>
      <c r="C18" s="224" t="s">
        <v>139</v>
      </c>
      <c r="D18" s="224" t="s">
        <v>139</v>
      </c>
      <c r="E18" s="1034">
        <v>0.33810000000000001</v>
      </c>
      <c r="F18" s="224">
        <v>2</v>
      </c>
      <c r="G18" s="185" t="s">
        <v>163</v>
      </c>
      <c r="H18" s="980">
        <v>2</v>
      </c>
      <c r="I18" s="980">
        <v>2</v>
      </c>
      <c r="J18" s="980">
        <v>2</v>
      </c>
      <c r="K18" s="980">
        <v>3</v>
      </c>
      <c r="L18" s="980">
        <v>1</v>
      </c>
      <c r="M18" s="981">
        <v>2</v>
      </c>
    </row>
    <row r="19" spans="1:13" ht="15" thickBot="1">
      <c r="A19" s="979" t="s">
        <v>2233</v>
      </c>
      <c r="B19" s="976" t="s">
        <v>2236</v>
      </c>
      <c r="C19" s="976" t="s">
        <v>139</v>
      </c>
      <c r="D19" s="976" t="s">
        <v>139</v>
      </c>
      <c r="E19" s="1035">
        <v>0.25</v>
      </c>
      <c r="F19" s="976">
        <v>2</v>
      </c>
      <c r="G19" s="976" t="s">
        <v>2273</v>
      </c>
      <c r="H19" s="982">
        <v>2</v>
      </c>
      <c r="I19" s="982">
        <v>2</v>
      </c>
      <c r="J19" s="982">
        <v>2</v>
      </c>
      <c r="K19" s="982">
        <v>3</v>
      </c>
      <c r="L19" s="982">
        <v>2</v>
      </c>
      <c r="M19" s="983">
        <v>2</v>
      </c>
    </row>
    <row r="20" spans="1:13">
      <c r="A20" s="64"/>
      <c r="B20" s="64"/>
      <c r="C20" s="64"/>
      <c r="D20" s="64"/>
      <c r="E20" s="64"/>
      <c r="F20" s="64"/>
      <c r="G20" s="64"/>
      <c r="H20" s="64"/>
      <c r="I20" s="64"/>
      <c r="J20" s="64"/>
      <c r="K20" s="64"/>
      <c r="L20" s="64"/>
      <c r="M20" s="64"/>
    </row>
    <row r="21" spans="1:13">
      <c r="A21" s="6"/>
      <c r="B21" s="64" t="s">
        <v>180</v>
      </c>
      <c r="C21" s="64" t="s">
        <v>2258</v>
      </c>
      <c r="D21" s="64"/>
      <c r="E21" s="64"/>
      <c r="F21" s="64"/>
      <c r="G21" s="64"/>
      <c r="H21" s="64"/>
      <c r="I21" s="64"/>
      <c r="J21" s="64"/>
      <c r="K21" s="64"/>
      <c r="L21" s="64"/>
      <c r="M21" s="64"/>
    </row>
    <row r="22" spans="1:13">
      <c r="A22" s="64" t="s">
        <v>2260</v>
      </c>
      <c r="B22" s="64">
        <v>7.3</v>
      </c>
      <c r="C22" s="64">
        <v>51.5</v>
      </c>
      <c r="D22" s="64"/>
      <c r="E22" s="64"/>
      <c r="F22" s="64"/>
      <c r="G22" s="64"/>
      <c r="H22" s="64"/>
      <c r="I22" s="64"/>
      <c r="J22" s="64"/>
      <c r="K22" s="64"/>
      <c r="L22" s="64"/>
      <c r="M22" s="64"/>
    </row>
    <row r="23" spans="1:13">
      <c r="A23" s="64" t="s">
        <v>2259</v>
      </c>
      <c r="B23" s="64">
        <v>6.2</v>
      </c>
      <c r="C23" s="64">
        <v>25.5</v>
      </c>
      <c r="D23" s="64"/>
      <c r="E23" s="64"/>
      <c r="F23" s="64"/>
      <c r="G23" s="64"/>
      <c r="H23" s="64"/>
      <c r="I23" s="64"/>
      <c r="J23" s="64"/>
      <c r="K23" s="64"/>
      <c r="L23" s="64"/>
      <c r="M23" s="64"/>
    </row>
    <row r="24" spans="1:13">
      <c r="A24" s="64" t="s">
        <v>150</v>
      </c>
      <c r="B24" s="64">
        <v>7.1</v>
      </c>
      <c r="C24" s="64">
        <v>1.9</v>
      </c>
      <c r="D24" s="64"/>
      <c r="E24" s="64"/>
      <c r="F24" s="64"/>
      <c r="G24" s="993">
        <f>E15*E30</f>
        <v>2.883720930232558E-2</v>
      </c>
      <c r="H24" s="64"/>
      <c r="I24" s="64"/>
      <c r="J24" s="64"/>
      <c r="K24" s="64"/>
      <c r="L24" s="64"/>
      <c r="M24" s="64"/>
    </row>
    <row r="25" spans="1:13">
      <c r="A25" s="64" t="s">
        <v>2261</v>
      </c>
      <c r="B25" s="64">
        <v>1</v>
      </c>
      <c r="C25" s="64">
        <v>8</v>
      </c>
      <c r="D25" s="64"/>
      <c r="E25" s="64"/>
      <c r="F25" s="64"/>
      <c r="G25" s="993">
        <f>C10*E29</f>
        <v>3.395348837209302E-2</v>
      </c>
      <c r="H25" s="64"/>
      <c r="I25" s="64"/>
      <c r="J25" s="64"/>
      <c r="K25" s="64"/>
      <c r="L25" s="64"/>
      <c r="M25" s="64"/>
    </row>
    <row r="26" spans="1:13">
      <c r="A26" s="375" t="s">
        <v>1045</v>
      </c>
      <c r="B26" s="375">
        <f>SUM(B22:B25)</f>
        <v>21.6</v>
      </c>
      <c r="C26" s="375">
        <f>SUM(C22:C25)</f>
        <v>86.9</v>
      </c>
      <c r="D26" s="64">
        <f>B26+C26</f>
        <v>108.5</v>
      </c>
      <c r="E26" s="64"/>
      <c r="F26" s="64"/>
      <c r="G26" s="64"/>
      <c r="H26" s="64"/>
      <c r="I26" s="64"/>
      <c r="J26" s="64"/>
      <c r="K26" s="64"/>
      <c r="L26" s="64"/>
      <c r="M26" s="64"/>
    </row>
    <row r="27" spans="1:13" ht="15" thickBot="1">
      <c r="A27" s="64"/>
      <c r="B27" s="64"/>
      <c r="C27" s="64"/>
      <c r="D27" s="64"/>
      <c r="E27" s="64"/>
      <c r="F27" s="64"/>
      <c r="G27" s="64"/>
      <c r="H27" s="64"/>
      <c r="I27" s="64"/>
      <c r="J27" s="64"/>
      <c r="K27" s="64"/>
      <c r="L27" s="64"/>
      <c r="M27" s="64"/>
    </row>
    <row r="28" spans="1:13" ht="15" thickBot="1">
      <c r="A28" s="65" t="s">
        <v>129</v>
      </c>
      <c r="B28" s="107" t="s">
        <v>130</v>
      </c>
      <c r="C28" s="108" t="s">
        <v>131</v>
      </c>
      <c r="D28" s="109" t="s">
        <v>102</v>
      </c>
      <c r="E28" s="226" t="s">
        <v>132</v>
      </c>
      <c r="F28" s="108" t="s">
        <v>133</v>
      </c>
      <c r="G28" s="110" t="s">
        <v>104</v>
      </c>
      <c r="H28" s="111" t="s">
        <v>134</v>
      </c>
      <c r="I28" s="112" t="s">
        <v>135</v>
      </c>
      <c r="J28" s="112" t="s">
        <v>65</v>
      </c>
      <c r="K28" s="112" t="s">
        <v>67</v>
      </c>
      <c r="L28" s="112" t="s">
        <v>73</v>
      </c>
      <c r="M28" s="113" t="s">
        <v>79</v>
      </c>
    </row>
    <row r="29" spans="1:13">
      <c r="A29" s="965" t="s">
        <v>2256</v>
      </c>
      <c r="B29" s="966" t="s">
        <v>421</v>
      </c>
      <c r="C29" s="810" t="s">
        <v>139</v>
      </c>
      <c r="D29" s="810" t="s">
        <v>139</v>
      </c>
      <c r="E29" s="1036">
        <f>$B$22/$D$26</f>
        <v>6.7281105990783407E-2</v>
      </c>
      <c r="F29" s="967">
        <v>2</v>
      </c>
      <c r="G29" s="966" t="s">
        <v>2262</v>
      </c>
      <c r="H29" s="13">
        <v>1</v>
      </c>
      <c r="I29" s="13">
        <v>2</v>
      </c>
      <c r="J29" s="13">
        <v>2</v>
      </c>
      <c r="K29" s="13">
        <v>1</v>
      </c>
      <c r="L29" s="13">
        <v>2</v>
      </c>
      <c r="M29" s="292">
        <v>2</v>
      </c>
    </row>
    <row r="30" spans="1:13">
      <c r="A30" s="968" t="s">
        <v>2256</v>
      </c>
      <c r="B30" s="964" t="s">
        <v>413</v>
      </c>
      <c r="C30" s="185" t="s">
        <v>139</v>
      </c>
      <c r="D30" s="185" t="s">
        <v>139</v>
      </c>
      <c r="E30" s="1037">
        <f>$B$23/$D$26</f>
        <v>5.7142857142857141E-2</v>
      </c>
      <c r="F30" s="245">
        <v>3</v>
      </c>
      <c r="G30" s="964" t="s">
        <v>2262</v>
      </c>
      <c r="H30" s="10">
        <v>1</v>
      </c>
      <c r="I30" s="10">
        <v>2</v>
      </c>
      <c r="J30" s="10">
        <v>2</v>
      </c>
      <c r="K30" s="10">
        <v>1</v>
      </c>
      <c r="L30" s="10">
        <v>2</v>
      </c>
      <c r="M30" s="293">
        <v>2</v>
      </c>
    </row>
    <row r="31" spans="1:13">
      <c r="A31" s="968" t="s">
        <v>2256</v>
      </c>
      <c r="B31" s="964" t="s">
        <v>176</v>
      </c>
      <c r="C31" s="185" t="s">
        <v>139</v>
      </c>
      <c r="D31" s="185" t="s">
        <v>139</v>
      </c>
      <c r="E31" s="1037">
        <v>1E-4</v>
      </c>
      <c r="F31" s="245">
        <v>3</v>
      </c>
      <c r="G31" s="964" t="s">
        <v>398</v>
      </c>
      <c r="H31" s="10"/>
      <c r="I31" s="10"/>
      <c r="J31" s="10"/>
      <c r="K31" s="10"/>
      <c r="L31" s="10"/>
      <c r="M31" s="293"/>
    </row>
    <row r="32" spans="1:13">
      <c r="A32" s="968" t="s">
        <v>2256</v>
      </c>
      <c r="B32" s="964" t="s">
        <v>184</v>
      </c>
      <c r="C32" s="185" t="s">
        <v>139</v>
      </c>
      <c r="D32" s="185" t="s">
        <v>139</v>
      </c>
      <c r="E32" s="1037">
        <v>3.0000000000000001E-3</v>
      </c>
      <c r="F32" s="245">
        <v>2</v>
      </c>
      <c r="G32" s="185" t="s">
        <v>224</v>
      </c>
      <c r="H32" s="10">
        <v>1</v>
      </c>
      <c r="I32" s="10">
        <v>2</v>
      </c>
      <c r="J32" s="10">
        <v>2</v>
      </c>
      <c r="K32" s="10">
        <v>1</v>
      </c>
      <c r="L32" s="10">
        <v>2</v>
      </c>
      <c r="M32" s="293">
        <v>2</v>
      </c>
    </row>
    <row r="33" spans="1:13">
      <c r="A33" s="968" t="s">
        <v>2256</v>
      </c>
      <c r="B33" s="964" t="s">
        <v>179</v>
      </c>
      <c r="C33" s="185" t="s">
        <v>139</v>
      </c>
      <c r="D33" s="185" t="s">
        <v>139</v>
      </c>
      <c r="E33" s="1037">
        <f>$B$24/$D$26</f>
        <v>6.5437788018433182E-2</v>
      </c>
      <c r="F33" s="245">
        <v>2</v>
      </c>
      <c r="G33" s="964" t="s">
        <v>2262</v>
      </c>
      <c r="H33" s="10">
        <v>1</v>
      </c>
      <c r="I33" s="10">
        <v>2</v>
      </c>
      <c r="J33" s="10">
        <v>2</v>
      </c>
      <c r="K33" s="10">
        <v>1</v>
      </c>
      <c r="L33" s="10">
        <v>2</v>
      </c>
      <c r="M33" s="293">
        <v>2</v>
      </c>
    </row>
    <row r="34" spans="1:13" ht="15" thickBot="1">
      <c r="A34" s="972" t="s">
        <v>2256</v>
      </c>
      <c r="B34" s="973" t="s">
        <v>245</v>
      </c>
      <c r="C34" s="894" t="s">
        <v>139</v>
      </c>
      <c r="D34" s="894" t="s">
        <v>139</v>
      </c>
      <c r="E34" s="1038" t="s">
        <v>150</v>
      </c>
      <c r="F34" s="974">
        <v>1</v>
      </c>
      <c r="G34" s="973" t="s">
        <v>2262</v>
      </c>
      <c r="H34" s="15">
        <v>1</v>
      </c>
      <c r="I34" s="15">
        <v>2</v>
      </c>
      <c r="J34" s="15">
        <v>2</v>
      </c>
      <c r="K34" s="15">
        <v>1</v>
      </c>
      <c r="L34" s="15">
        <v>2</v>
      </c>
      <c r="M34" s="296">
        <v>2</v>
      </c>
    </row>
    <row r="35" spans="1:13">
      <c r="A35" s="965" t="s">
        <v>2263</v>
      </c>
      <c r="B35" s="966" t="s">
        <v>421</v>
      </c>
      <c r="C35" s="810" t="s">
        <v>139</v>
      </c>
      <c r="D35" s="810" t="s">
        <v>139</v>
      </c>
      <c r="E35" s="1036">
        <f>$B$22/$D$26</f>
        <v>6.7281105990783407E-2</v>
      </c>
      <c r="F35" s="967">
        <v>2</v>
      </c>
      <c r="G35" s="966" t="s">
        <v>2262</v>
      </c>
      <c r="H35" s="13">
        <v>1</v>
      </c>
      <c r="I35" s="13">
        <v>2</v>
      </c>
      <c r="J35" s="13">
        <v>2</v>
      </c>
      <c r="K35" s="13">
        <v>1</v>
      </c>
      <c r="L35" s="13">
        <v>2</v>
      </c>
      <c r="M35" s="292">
        <v>2</v>
      </c>
    </row>
    <row r="36" spans="1:13">
      <c r="A36" s="968" t="s">
        <v>2263</v>
      </c>
      <c r="B36" s="964" t="s">
        <v>413</v>
      </c>
      <c r="C36" s="185" t="s">
        <v>139</v>
      </c>
      <c r="D36" s="185" t="s">
        <v>139</v>
      </c>
      <c r="E36" s="1037">
        <f>$B$23/$D$26</f>
        <v>5.7142857142857141E-2</v>
      </c>
      <c r="F36" s="245">
        <v>3</v>
      </c>
      <c r="G36" s="964" t="s">
        <v>2262</v>
      </c>
      <c r="H36" s="10">
        <v>1</v>
      </c>
      <c r="I36" s="10">
        <v>2</v>
      </c>
      <c r="J36" s="10">
        <v>2</v>
      </c>
      <c r="K36" s="10">
        <v>1</v>
      </c>
      <c r="L36" s="10">
        <v>2</v>
      </c>
      <c r="M36" s="293">
        <v>2</v>
      </c>
    </row>
    <row r="37" spans="1:13">
      <c r="A37" s="968" t="s">
        <v>2263</v>
      </c>
      <c r="B37" s="964" t="s">
        <v>176</v>
      </c>
      <c r="C37" s="185" t="s">
        <v>139</v>
      </c>
      <c r="D37" s="185" t="s">
        <v>139</v>
      </c>
      <c r="E37" s="1037">
        <v>1E-4</v>
      </c>
      <c r="F37" s="245">
        <v>3</v>
      </c>
      <c r="G37" s="964" t="s">
        <v>398</v>
      </c>
      <c r="H37" s="10"/>
      <c r="I37" s="10"/>
      <c r="J37" s="10"/>
      <c r="K37" s="10"/>
      <c r="L37" s="10"/>
      <c r="M37" s="293"/>
    </row>
    <row r="38" spans="1:13">
      <c r="A38" s="968" t="s">
        <v>2263</v>
      </c>
      <c r="B38" s="964" t="s">
        <v>184</v>
      </c>
      <c r="C38" s="185" t="s">
        <v>139</v>
      </c>
      <c r="D38" s="185" t="s">
        <v>139</v>
      </c>
      <c r="E38" s="1037">
        <v>3.0000000000000001E-3</v>
      </c>
      <c r="F38" s="245">
        <v>2</v>
      </c>
      <c r="G38" s="185" t="s">
        <v>224</v>
      </c>
      <c r="H38" s="10">
        <v>1</v>
      </c>
      <c r="I38" s="10">
        <v>2</v>
      </c>
      <c r="J38" s="10">
        <v>2</v>
      </c>
      <c r="K38" s="10">
        <v>1</v>
      </c>
      <c r="L38" s="10">
        <v>2</v>
      </c>
      <c r="M38" s="293">
        <v>2</v>
      </c>
    </row>
    <row r="39" spans="1:13">
      <c r="A39" s="968" t="s">
        <v>2263</v>
      </c>
      <c r="B39" s="964" t="s">
        <v>179</v>
      </c>
      <c r="C39" s="185" t="s">
        <v>139</v>
      </c>
      <c r="D39" s="185" t="s">
        <v>139</v>
      </c>
      <c r="E39" s="1037">
        <f>$B$24/$D$26</f>
        <v>6.5437788018433182E-2</v>
      </c>
      <c r="F39" s="245">
        <v>2</v>
      </c>
      <c r="G39" s="964" t="s">
        <v>2262</v>
      </c>
      <c r="H39" s="10">
        <v>1</v>
      </c>
      <c r="I39" s="10">
        <v>2</v>
      </c>
      <c r="J39" s="10">
        <v>2</v>
      </c>
      <c r="K39" s="10">
        <v>1</v>
      </c>
      <c r="L39" s="10">
        <v>2</v>
      </c>
      <c r="M39" s="293">
        <v>2</v>
      </c>
    </row>
    <row r="40" spans="1:13" ht="15" thickBot="1">
      <c r="A40" s="972" t="s">
        <v>2263</v>
      </c>
      <c r="B40" s="973" t="s">
        <v>245</v>
      </c>
      <c r="C40" s="894" t="s">
        <v>139</v>
      </c>
      <c r="D40" s="894" t="s">
        <v>139</v>
      </c>
      <c r="E40" s="1038" t="s">
        <v>150</v>
      </c>
      <c r="F40" s="974">
        <v>1</v>
      </c>
      <c r="G40" s="973" t="s">
        <v>2262</v>
      </c>
      <c r="H40" s="15">
        <v>1</v>
      </c>
      <c r="I40" s="15">
        <v>2</v>
      </c>
      <c r="J40" s="15">
        <v>2</v>
      </c>
      <c r="K40" s="15">
        <v>1</v>
      </c>
      <c r="L40" s="15">
        <v>2</v>
      </c>
      <c r="M40" s="296">
        <v>2</v>
      </c>
    </row>
    <row r="41" spans="1:13">
      <c r="A41" s="965" t="s">
        <v>2264</v>
      </c>
      <c r="B41" s="966" t="s">
        <v>421</v>
      </c>
      <c r="C41" s="810" t="s">
        <v>139</v>
      </c>
      <c r="D41" s="810" t="s">
        <v>139</v>
      </c>
      <c r="E41" s="1036">
        <f>$B$22/$D$26</f>
        <v>6.7281105990783407E-2</v>
      </c>
      <c r="F41" s="967">
        <v>2</v>
      </c>
      <c r="G41" s="966" t="s">
        <v>2262</v>
      </c>
      <c r="H41" s="13">
        <v>1</v>
      </c>
      <c r="I41" s="13">
        <v>2</v>
      </c>
      <c r="J41" s="13">
        <v>2</v>
      </c>
      <c r="K41" s="13">
        <v>1</v>
      </c>
      <c r="L41" s="13">
        <v>2</v>
      </c>
      <c r="M41" s="292">
        <v>2</v>
      </c>
    </row>
    <row r="42" spans="1:13">
      <c r="A42" s="968" t="s">
        <v>2264</v>
      </c>
      <c r="B42" s="964" t="s">
        <v>413</v>
      </c>
      <c r="C42" s="185" t="s">
        <v>139</v>
      </c>
      <c r="D42" s="185" t="s">
        <v>139</v>
      </c>
      <c r="E42" s="1037">
        <f>$B$23/$D$26</f>
        <v>5.7142857142857141E-2</v>
      </c>
      <c r="F42" s="245">
        <v>3</v>
      </c>
      <c r="G42" s="964" t="s">
        <v>2262</v>
      </c>
      <c r="H42" s="10">
        <v>1</v>
      </c>
      <c r="I42" s="10">
        <v>2</v>
      </c>
      <c r="J42" s="10">
        <v>2</v>
      </c>
      <c r="K42" s="10">
        <v>1</v>
      </c>
      <c r="L42" s="10">
        <v>2</v>
      </c>
      <c r="M42" s="293">
        <v>2</v>
      </c>
    </row>
    <row r="43" spans="1:13">
      <c r="A43" s="968" t="s">
        <v>2264</v>
      </c>
      <c r="B43" s="964" t="s">
        <v>176</v>
      </c>
      <c r="C43" s="185" t="s">
        <v>139</v>
      </c>
      <c r="D43" s="185" t="s">
        <v>139</v>
      </c>
      <c r="E43" s="1037">
        <v>1E-4</v>
      </c>
      <c r="F43" s="245">
        <v>3</v>
      </c>
      <c r="G43" s="964" t="s">
        <v>398</v>
      </c>
      <c r="H43" s="10"/>
      <c r="I43" s="10"/>
      <c r="J43" s="10"/>
      <c r="K43" s="10"/>
      <c r="L43" s="10"/>
      <c r="M43" s="293"/>
    </row>
    <row r="44" spans="1:13">
      <c r="A44" s="968" t="s">
        <v>2264</v>
      </c>
      <c r="B44" s="964" t="s">
        <v>184</v>
      </c>
      <c r="C44" s="185" t="s">
        <v>139</v>
      </c>
      <c r="D44" s="185" t="s">
        <v>139</v>
      </c>
      <c r="E44" s="1037">
        <v>3.0000000000000001E-3</v>
      </c>
      <c r="F44" s="245">
        <v>2</v>
      </c>
      <c r="G44" s="185" t="s">
        <v>224</v>
      </c>
      <c r="H44" s="10">
        <v>1</v>
      </c>
      <c r="I44" s="10">
        <v>2</v>
      </c>
      <c r="J44" s="10">
        <v>2</v>
      </c>
      <c r="K44" s="10">
        <v>1</v>
      </c>
      <c r="L44" s="10">
        <v>2</v>
      </c>
      <c r="M44" s="293">
        <v>2</v>
      </c>
    </row>
    <row r="45" spans="1:13">
      <c r="A45" s="968" t="s">
        <v>2264</v>
      </c>
      <c r="B45" s="964" t="s">
        <v>179</v>
      </c>
      <c r="C45" s="185" t="s">
        <v>139</v>
      </c>
      <c r="D45" s="185" t="s">
        <v>139</v>
      </c>
      <c r="E45" s="1037">
        <f>$B$24/$D$26</f>
        <v>6.5437788018433182E-2</v>
      </c>
      <c r="F45" s="245">
        <v>2</v>
      </c>
      <c r="G45" s="964" t="s">
        <v>2262</v>
      </c>
      <c r="H45" s="10">
        <v>1</v>
      </c>
      <c r="I45" s="10">
        <v>2</v>
      </c>
      <c r="J45" s="10">
        <v>2</v>
      </c>
      <c r="K45" s="10">
        <v>1</v>
      </c>
      <c r="L45" s="10">
        <v>2</v>
      </c>
      <c r="M45" s="293">
        <v>2</v>
      </c>
    </row>
    <row r="46" spans="1:13" ht="15" thickBot="1">
      <c r="A46" s="969" t="s">
        <v>2264</v>
      </c>
      <c r="B46" s="970" t="s">
        <v>245</v>
      </c>
      <c r="C46" s="902" t="s">
        <v>139</v>
      </c>
      <c r="D46" s="902" t="s">
        <v>139</v>
      </c>
      <c r="E46" s="1039" t="s">
        <v>150</v>
      </c>
      <c r="F46" s="971">
        <v>1</v>
      </c>
      <c r="G46" s="970" t="s">
        <v>2262</v>
      </c>
      <c r="H46" s="14">
        <v>1</v>
      </c>
      <c r="I46" s="14">
        <v>2</v>
      </c>
      <c r="J46" s="14">
        <v>2</v>
      </c>
      <c r="K46" s="14">
        <v>1</v>
      </c>
      <c r="L46" s="14">
        <v>2</v>
      </c>
      <c r="M46" s="294">
        <v>2</v>
      </c>
    </row>
    <row r="47" spans="1:13">
      <c r="A47" s="992" t="s">
        <v>2236</v>
      </c>
      <c r="B47" s="637" t="s">
        <v>2237</v>
      </c>
      <c r="C47" s="637" t="s">
        <v>139</v>
      </c>
      <c r="D47" s="637" t="s">
        <v>139</v>
      </c>
      <c r="E47" s="1040">
        <v>0.1</v>
      </c>
      <c r="F47" s="637">
        <v>2</v>
      </c>
      <c r="G47" t="s">
        <v>2273</v>
      </c>
      <c r="H47" s="66">
        <v>2</v>
      </c>
      <c r="I47" s="66">
        <v>2</v>
      </c>
      <c r="J47" s="66">
        <v>2</v>
      </c>
      <c r="K47" s="66">
        <v>3</v>
      </c>
      <c r="L47" s="66">
        <v>2</v>
      </c>
      <c r="M47" s="295">
        <v>2</v>
      </c>
    </row>
    <row r="48" spans="1:13">
      <c r="A48" s="636" t="s">
        <v>2236</v>
      </c>
      <c r="B48" s="313" t="s">
        <v>179</v>
      </c>
      <c r="C48" s="313" t="s">
        <v>139</v>
      </c>
      <c r="D48" s="313" t="s">
        <v>139</v>
      </c>
      <c r="E48" s="1041" t="s">
        <v>150</v>
      </c>
      <c r="F48" s="313">
        <v>1</v>
      </c>
      <c r="G48" s="313"/>
      <c r="H48" s="10"/>
      <c r="I48" s="10"/>
      <c r="J48" s="10"/>
      <c r="K48" s="10"/>
      <c r="L48" s="10"/>
      <c r="M48" s="293"/>
    </row>
    <row r="49" spans="1:13">
      <c r="A49" s="636" t="s">
        <v>2236</v>
      </c>
      <c r="B49" s="313" t="s">
        <v>184</v>
      </c>
      <c r="C49" s="313" t="s">
        <v>139</v>
      </c>
      <c r="D49" s="313" t="s">
        <v>139</v>
      </c>
      <c r="E49" s="1041">
        <v>3.0000000000000001E-3</v>
      </c>
      <c r="F49" s="313">
        <v>2</v>
      </c>
      <c r="G49" s="185" t="s">
        <v>224</v>
      </c>
      <c r="H49" s="10">
        <v>1</v>
      </c>
      <c r="I49" s="10">
        <v>2</v>
      </c>
      <c r="J49" s="10">
        <v>2</v>
      </c>
      <c r="K49" s="10">
        <v>1</v>
      </c>
      <c r="L49" s="10">
        <v>2</v>
      </c>
      <c r="M49" s="293">
        <v>2</v>
      </c>
    </row>
    <row r="50" spans="1:13">
      <c r="A50" s="636" t="s">
        <v>2236</v>
      </c>
      <c r="B50" s="313" t="s">
        <v>176</v>
      </c>
      <c r="C50" s="313" t="s">
        <v>139</v>
      </c>
      <c r="D50" s="313" t="s">
        <v>139</v>
      </c>
      <c r="E50" s="1037">
        <v>1E-4</v>
      </c>
      <c r="F50" s="313">
        <v>3</v>
      </c>
      <c r="G50" s="185" t="s">
        <v>398</v>
      </c>
      <c r="H50" s="10">
        <v>1</v>
      </c>
      <c r="I50" s="10">
        <v>2</v>
      </c>
      <c r="J50" s="10">
        <v>2</v>
      </c>
      <c r="K50" s="10">
        <v>1</v>
      </c>
      <c r="L50" s="10">
        <v>2</v>
      </c>
      <c r="M50" s="293">
        <v>2</v>
      </c>
    </row>
    <row r="51" spans="1:13" ht="15" thickBot="1">
      <c r="A51" s="635" t="s">
        <v>2236</v>
      </c>
      <c r="B51" s="975" t="s">
        <v>413</v>
      </c>
      <c r="C51" s="975" t="s">
        <v>139</v>
      </c>
      <c r="D51" s="975" t="s">
        <v>139</v>
      </c>
      <c r="E51" s="1042">
        <v>1E-3</v>
      </c>
      <c r="F51" s="975">
        <v>3</v>
      </c>
      <c r="G51" s="975" t="s">
        <v>2274</v>
      </c>
      <c r="H51" s="14">
        <v>2</v>
      </c>
      <c r="I51" s="14">
        <v>2</v>
      </c>
      <c r="J51" s="14">
        <v>2</v>
      </c>
      <c r="K51" s="14">
        <v>3</v>
      </c>
      <c r="L51" s="14">
        <v>2</v>
      </c>
      <c r="M51" s="294">
        <v>2</v>
      </c>
    </row>
  </sheetData>
  <conditionalFormatting sqref="H15:M15">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15:M19">
    <cfRule type="containsBlanks" dxfId="135" priority="1" stopIfTrue="1">
      <formula>LEN(TRIM(H15))=0</formula>
    </cfRule>
    <cfRule type="cellIs" dxfId="134" priority="2" stopIfTrue="1" operator="notBetween">
      <formula>1</formula>
      <formula>4</formula>
    </cfRule>
  </conditionalFormatting>
  <conditionalFormatting sqref="H16:M16">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17:M17">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8:M18">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9:M19">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29:M34">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9:M51">
    <cfRule type="containsBlanks" dxfId="133" priority="19" stopIfTrue="1">
      <formula>LEN(TRIM(H29))=0</formula>
    </cfRule>
    <cfRule type="cellIs" dxfId="132" priority="20" stopIfTrue="1" operator="notBetween">
      <formula>1</formula>
      <formula>4</formula>
    </cfRule>
  </conditionalFormatting>
  <conditionalFormatting sqref="H35:M40">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41:M46">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47:M51">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H15:M15</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H16:M16</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H17:M17</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H18:M18</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H19:M19</xm:sqref>
        </x14:conditionalFormatting>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H29:M34</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H35:M40</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H41:M46</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H47:M51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zoomScale="80" zoomScaleNormal="80" workbookViewId="0">
      <selection activeCell="C25" sqref="C25"/>
    </sheetView>
  </sheetViews>
  <sheetFormatPr defaultRowHeight="14.4"/>
  <cols>
    <col min="1" max="1" width="14.33203125" customWidth="1"/>
    <col min="2" max="3" width="21.88671875" customWidth="1"/>
    <col min="5" max="5" width="10.88671875" customWidth="1"/>
    <col min="7" max="7" width="17.5546875" customWidth="1"/>
    <col min="8" max="8" width="14.33203125" customWidth="1"/>
    <col min="9" max="9" width="9.88671875" customWidth="1"/>
    <col min="10" max="10" width="8.44140625" customWidth="1"/>
    <col min="11" max="11" width="9.33203125" customWidth="1"/>
    <col min="12" max="12" width="9" customWidth="1"/>
    <col min="13" max="13" width="8.88671875" customWidth="1"/>
    <col min="14" max="14" width="8.33203125" customWidth="1"/>
    <col min="15" max="15" width="8.88671875" customWidth="1"/>
    <col min="16" max="16" width="27.6640625" customWidth="1"/>
    <col min="17" max="17" width="15.109375" customWidth="1"/>
    <col min="22" max="22" width="9.88671875" bestFit="1" customWidth="1"/>
    <col min="23" max="23" width="10.6640625" bestFit="1" customWidth="1"/>
    <col min="24" max="24" width="12.5546875" bestFit="1" customWidth="1"/>
    <col min="26" max="26" width="9.5546875" customWidth="1"/>
    <col min="32" max="32" width="34.109375" customWidth="1"/>
    <col min="33" max="33" width="21.44140625" customWidth="1"/>
    <col min="34" max="34" width="110" customWidth="1"/>
    <col min="35" max="35" width="8" customWidth="1"/>
    <col min="36" max="36" width="9.109375" hidden="1" customWidth="1"/>
    <col min="37" max="37" width="10.88671875" hidden="1" customWidth="1"/>
    <col min="38" max="41" width="9.109375" hidden="1" customWidth="1"/>
    <col min="44" max="44" width="80.109375" bestFit="1" customWidth="1"/>
  </cols>
  <sheetData>
    <row r="1" spans="1:32" s="645" customFormat="1" ht="15" customHeight="1"/>
    <row r="2" spans="1:32" s="645" customFormat="1" ht="25.8">
      <c r="A2" s="789" t="s">
        <v>522</v>
      </c>
    </row>
    <row r="3" spans="1:32" s="643" customFormat="1" ht="15" customHeight="1">
      <c r="A3" s="1125" t="s">
        <v>180</v>
      </c>
      <c r="B3" s="1125"/>
      <c r="C3" s="1125"/>
      <c r="D3" s="1125"/>
      <c r="E3" s="1125"/>
      <c r="F3" s="1125"/>
      <c r="G3" s="1125"/>
      <c r="H3" s="1125"/>
      <c r="I3" s="1125"/>
      <c r="J3" s="1125"/>
      <c r="K3" s="1125"/>
      <c r="L3" s="1125"/>
      <c r="M3" s="1125"/>
      <c r="N3" s="1125"/>
      <c r="O3" s="1125"/>
      <c r="P3" s="1125"/>
      <c r="Q3" s="1126" t="s">
        <v>182</v>
      </c>
      <c r="R3" s="1126"/>
      <c r="S3" s="1126"/>
      <c r="T3" s="1126"/>
      <c r="U3" s="1126"/>
      <c r="V3" s="1126"/>
      <c r="W3" s="1126"/>
      <c r="X3" s="1126"/>
      <c r="Y3" s="1126"/>
      <c r="Z3" s="1126"/>
      <c r="AA3" s="1126"/>
      <c r="AB3" s="1126"/>
      <c r="AC3" s="1126"/>
      <c r="AD3" s="1126"/>
      <c r="AE3" s="1126"/>
      <c r="AF3" s="1126"/>
    </row>
    <row r="4" spans="1:32" ht="15" customHeight="1" thickBot="1">
      <c r="A4" s="1125"/>
      <c r="B4" s="1125"/>
      <c r="C4" s="1125"/>
      <c r="D4" s="1125"/>
      <c r="E4" s="1125"/>
      <c r="F4" s="1125"/>
      <c r="G4" s="1125"/>
      <c r="H4" s="1125"/>
      <c r="I4" s="1125"/>
      <c r="J4" s="1125"/>
      <c r="K4" s="1125"/>
      <c r="L4" s="1125"/>
      <c r="M4" s="1125"/>
      <c r="N4" s="1125"/>
      <c r="O4" s="1125"/>
      <c r="P4" s="1125"/>
      <c r="Q4" s="1126"/>
      <c r="R4" s="1126"/>
      <c r="S4" s="1126"/>
      <c r="T4" s="1126"/>
      <c r="U4" s="1126"/>
      <c r="V4" s="1126"/>
      <c r="W4" s="1126"/>
      <c r="X4" s="1126"/>
      <c r="Y4" s="1126"/>
      <c r="Z4" s="1126"/>
      <c r="AA4" s="1126"/>
      <c r="AB4" s="1126"/>
      <c r="AC4" s="1126"/>
      <c r="AD4" s="1126"/>
      <c r="AE4" s="1126"/>
      <c r="AF4" s="1126"/>
    </row>
    <row r="5" spans="1:32" ht="15" thickBot="1">
      <c r="A5" s="107" t="s">
        <v>101</v>
      </c>
      <c r="B5" s="646" t="s">
        <v>523</v>
      </c>
      <c r="C5" s="108" t="s">
        <v>102</v>
      </c>
      <c r="D5" s="646" t="s">
        <v>524</v>
      </c>
      <c r="E5" s="646" t="s">
        <v>245</v>
      </c>
      <c r="F5" s="646" t="s">
        <v>525</v>
      </c>
      <c r="G5" s="646" t="s">
        <v>526</v>
      </c>
      <c r="H5" s="646" t="s">
        <v>527</v>
      </c>
      <c r="I5" s="108" t="s">
        <v>104</v>
      </c>
      <c r="J5" s="419" t="s">
        <v>105</v>
      </c>
      <c r="K5" s="420" t="s">
        <v>65</v>
      </c>
      <c r="L5" s="420" t="s">
        <v>67</v>
      </c>
      <c r="M5" s="420" t="s">
        <v>73</v>
      </c>
      <c r="N5" s="421" t="s">
        <v>79</v>
      </c>
      <c r="O5" s="422" t="s">
        <v>106</v>
      </c>
      <c r="P5" s="423" t="s">
        <v>107</v>
      </c>
      <c r="Q5" s="107" t="s">
        <v>101</v>
      </c>
      <c r="R5" s="644" t="s">
        <v>523</v>
      </c>
      <c r="S5" s="108" t="s">
        <v>102</v>
      </c>
      <c r="T5" s="644" t="s">
        <v>524</v>
      </c>
      <c r="U5" s="644" t="s">
        <v>245</v>
      </c>
      <c r="V5" s="644" t="s">
        <v>525</v>
      </c>
      <c r="W5" s="644" t="s">
        <v>526</v>
      </c>
      <c r="X5" s="644" t="s">
        <v>527</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066" customFormat="1">
      <c r="A358" s="1071" t="s">
        <v>15</v>
      </c>
    </row>
    <row r="359" spans="1:16" s="1066" customFormat="1" ht="15" thickBot="1"/>
    <row r="360" spans="1:16" ht="1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528</v>
      </c>
      <c r="H368" s="251">
        <v>1</v>
      </c>
      <c r="I368" s="654"/>
      <c r="J368" s="66">
        <v>1</v>
      </c>
      <c r="K368" s="66">
        <v>1</v>
      </c>
      <c r="L368" s="66">
        <v>2</v>
      </c>
      <c r="M368" s="66">
        <v>2</v>
      </c>
      <c r="N368" s="438">
        <f t="shared" si="7"/>
        <v>0.35859414261160716</v>
      </c>
      <c r="O368" s="650"/>
      <c r="P368" s="618" t="s">
        <v>529</v>
      </c>
    </row>
    <row r="369" spans="1:19">
      <c r="A369" s="97" t="s">
        <v>256</v>
      </c>
      <c r="B369" s="68" t="s">
        <v>267</v>
      </c>
      <c r="C369" s="307" t="s">
        <v>180</v>
      </c>
      <c r="D369" s="68" t="s">
        <v>86</v>
      </c>
      <c r="E369" s="647">
        <v>0.84514925373134331</v>
      </c>
      <c r="F369" s="63">
        <v>1</v>
      </c>
      <c r="G369" t="s">
        <v>528</v>
      </c>
      <c r="H369" s="249">
        <v>1</v>
      </c>
      <c r="I369" s="655"/>
      <c r="J369" s="10">
        <v>1</v>
      </c>
      <c r="K369" s="10">
        <v>1</v>
      </c>
      <c r="L369" s="10">
        <v>2</v>
      </c>
      <c r="M369" s="10">
        <v>2</v>
      </c>
      <c r="N369" s="405">
        <f t="shared" si="7"/>
        <v>0.35859414261160716</v>
      </c>
      <c r="O369" s="502"/>
      <c r="P369" s="100" t="s">
        <v>529</v>
      </c>
    </row>
    <row r="370" spans="1:19">
      <c r="A370" s="97" t="s">
        <v>256</v>
      </c>
      <c r="B370" s="68" t="s">
        <v>267</v>
      </c>
      <c r="C370" s="307" t="s">
        <v>180</v>
      </c>
      <c r="D370" s="68" t="s">
        <v>87</v>
      </c>
      <c r="E370" s="647">
        <v>0.2164781906300485</v>
      </c>
      <c r="F370" s="63">
        <v>1</v>
      </c>
      <c r="G370" t="s">
        <v>528</v>
      </c>
      <c r="H370" s="249">
        <v>1</v>
      </c>
      <c r="I370" s="655"/>
      <c r="J370" s="10">
        <v>1</v>
      </c>
      <c r="K370" s="10">
        <v>1</v>
      </c>
      <c r="L370" s="10">
        <v>2</v>
      </c>
      <c r="M370" s="10">
        <v>2</v>
      </c>
      <c r="N370" s="405">
        <f t="shared" si="7"/>
        <v>0.35859414261160716</v>
      </c>
      <c r="O370" s="502"/>
      <c r="P370" s="100" t="s">
        <v>529</v>
      </c>
    </row>
    <row r="371" spans="1:19">
      <c r="A371" s="97" t="s">
        <v>256</v>
      </c>
      <c r="B371" s="68" t="s">
        <v>267</v>
      </c>
      <c r="C371" s="307" t="s">
        <v>180</v>
      </c>
      <c r="D371" s="68" t="s">
        <v>88</v>
      </c>
      <c r="E371" s="647">
        <v>0.14782608695652169</v>
      </c>
      <c r="F371" s="63">
        <v>1</v>
      </c>
      <c r="G371" t="s">
        <v>528</v>
      </c>
      <c r="H371" s="249">
        <v>1</v>
      </c>
      <c r="I371" s="655"/>
      <c r="J371" s="10">
        <v>1</v>
      </c>
      <c r="K371" s="10">
        <v>1</v>
      </c>
      <c r="L371" s="10">
        <v>2</v>
      </c>
      <c r="M371" s="10">
        <v>2</v>
      </c>
      <c r="N371" s="405">
        <f t="shared" si="7"/>
        <v>0.35859414261160716</v>
      </c>
      <c r="O371" s="502"/>
      <c r="P371" s="100" t="s">
        <v>529</v>
      </c>
    </row>
    <row r="372" spans="1:19">
      <c r="A372" s="97" t="s">
        <v>256</v>
      </c>
      <c r="B372" s="68" t="s">
        <v>267</v>
      </c>
      <c r="C372" s="307" t="s">
        <v>180</v>
      </c>
      <c r="D372" s="68" t="s">
        <v>89</v>
      </c>
      <c r="E372" s="647">
        <v>0.66574585635359118</v>
      </c>
      <c r="F372" s="63">
        <v>1</v>
      </c>
      <c r="G372" t="s">
        <v>528</v>
      </c>
      <c r="H372" s="249">
        <v>1</v>
      </c>
      <c r="I372" s="655"/>
      <c r="J372" s="10">
        <v>1</v>
      </c>
      <c r="K372" s="10">
        <v>1</v>
      </c>
      <c r="L372" s="10">
        <v>2</v>
      </c>
      <c r="M372" s="10">
        <v>2</v>
      </c>
      <c r="N372" s="405">
        <f t="shared" si="7"/>
        <v>0.35859414261160716</v>
      </c>
      <c r="O372" s="502"/>
      <c r="P372" s="100" t="s">
        <v>529</v>
      </c>
      <c r="S372">
        <f>(14810.17/75907000)*100</f>
        <v>1.9510941019932285E-2</v>
      </c>
    </row>
    <row r="373" spans="1:19">
      <c r="A373" s="97" t="s">
        <v>256</v>
      </c>
      <c r="B373" s="68" t="s">
        <v>267</v>
      </c>
      <c r="C373" s="307" t="s">
        <v>180</v>
      </c>
      <c r="D373" s="68" t="s">
        <v>90</v>
      </c>
      <c r="E373" s="647">
        <v>0.85006045949214026</v>
      </c>
      <c r="F373" s="63">
        <v>1</v>
      </c>
      <c r="G373" t="s">
        <v>528</v>
      </c>
      <c r="H373" s="249">
        <v>1</v>
      </c>
      <c r="I373" s="655"/>
      <c r="J373" s="10">
        <v>1</v>
      </c>
      <c r="K373" s="10">
        <v>1</v>
      </c>
      <c r="L373" s="10">
        <v>2</v>
      </c>
      <c r="M373" s="10">
        <v>2</v>
      </c>
      <c r="N373" s="405">
        <f t="shared" si="7"/>
        <v>0.35859414261160716</v>
      </c>
      <c r="O373" s="502"/>
      <c r="P373" s="100" t="s">
        <v>529</v>
      </c>
    </row>
    <row r="374" spans="1:19">
      <c r="A374" s="97" t="s">
        <v>256</v>
      </c>
      <c r="B374" s="68" t="s">
        <v>267</v>
      </c>
      <c r="C374" s="307" t="s">
        <v>180</v>
      </c>
      <c r="D374" s="68" t="s">
        <v>91</v>
      </c>
      <c r="E374" s="647">
        <v>1</v>
      </c>
      <c r="F374" s="63">
        <v>1</v>
      </c>
      <c r="G374" t="s">
        <v>528</v>
      </c>
      <c r="H374" s="249">
        <v>1</v>
      </c>
      <c r="I374" s="655"/>
      <c r="J374" s="10">
        <v>1</v>
      </c>
      <c r="K374" s="10">
        <v>1</v>
      </c>
      <c r="L374" s="10">
        <v>2</v>
      </c>
      <c r="M374" s="10">
        <v>2</v>
      </c>
      <c r="N374" s="405">
        <f t="shared" si="7"/>
        <v>0.35859414261160716</v>
      </c>
      <c r="O374" s="502"/>
      <c r="P374" s="100" t="s">
        <v>529</v>
      </c>
    </row>
    <row r="375" spans="1:19">
      <c r="A375" s="97" t="s">
        <v>256</v>
      </c>
      <c r="B375" s="68" t="s">
        <v>267</v>
      </c>
      <c r="C375" s="307" t="s">
        <v>180</v>
      </c>
      <c r="D375" s="68" t="s">
        <v>94</v>
      </c>
      <c r="E375" s="647">
        <v>1</v>
      </c>
      <c r="F375" s="63">
        <v>1</v>
      </c>
      <c r="G375" t="s">
        <v>528</v>
      </c>
      <c r="H375" s="249">
        <v>1</v>
      </c>
      <c r="I375" s="655"/>
      <c r="J375" s="10">
        <v>1</v>
      </c>
      <c r="K375" s="10">
        <v>1</v>
      </c>
      <c r="L375" s="10">
        <v>2</v>
      </c>
      <c r="M375" s="10">
        <v>2</v>
      </c>
      <c r="N375" s="405">
        <f t="shared" si="7"/>
        <v>0.35859414261160716</v>
      </c>
      <c r="O375" s="502"/>
      <c r="P375" s="100" t="s">
        <v>529</v>
      </c>
    </row>
    <row r="376" spans="1:19">
      <c r="A376" s="97" t="s">
        <v>256</v>
      </c>
      <c r="B376" s="68" t="s">
        <v>267</v>
      </c>
      <c r="C376" s="307" t="s">
        <v>180</v>
      </c>
      <c r="D376" s="68" t="s">
        <v>96</v>
      </c>
      <c r="E376" s="647">
        <v>0.43243243243243251</v>
      </c>
      <c r="F376" s="63">
        <v>1</v>
      </c>
      <c r="G376" t="s">
        <v>528</v>
      </c>
      <c r="H376" s="249">
        <v>1</v>
      </c>
      <c r="I376" s="655"/>
      <c r="J376" s="10">
        <v>1</v>
      </c>
      <c r="K376" s="10">
        <v>1</v>
      </c>
      <c r="L376" s="10">
        <v>2</v>
      </c>
      <c r="M376" s="10">
        <v>2</v>
      </c>
      <c r="N376" s="405">
        <f t="shared" si="7"/>
        <v>0.35859414261160716</v>
      </c>
      <c r="O376" s="502"/>
      <c r="P376" s="100" t="s">
        <v>529</v>
      </c>
    </row>
    <row r="377" spans="1:19">
      <c r="A377" s="97" t="s">
        <v>256</v>
      </c>
      <c r="B377" s="68" t="s">
        <v>267</v>
      </c>
      <c r="C377" s="307" t="s">
        <v>180</v>
      </c>
      <c r="D377" s="68" t="s">
        <v>97</v>
      </c>
      <c r="E377" s="647">
        <v>0.66998341625207292</v>
      </c>
      <c r="F377" s="63">
        <v>1</v>
      </c>
      <c r="G377" t="s">
        <v>528</v>
      </c>
      <c r="H377" s="249">
        <v>1</v>
      </c>
      <c r="I377" s="655"/>
      <c r="J377" s="10">
        <v>1</v>
      </c>
      <c r="K377" s="10">
        <v>1</v>
      </c>
      <c r="L377" s="10">
        <v>2</v>
      </c>
      <c r="M377" s="10">
        <v>2</v>
      </c>
      <c r="N377" s="405">
        <f t="shared" si="7"/>
        <v>0.35859414261160716</v>
      </c>
      <c r="O377" s="502"/>
      <c r="P377" s="100" t="s">
        <v>529</v>
      </c>
    </row>
    <row r="378" spans="1:19">
      <c r="A378" s="97" t="s">
        <v>256</v>
      </c>
      <c r="B378" s="68" t="s">
        <v>267</v>
      </c>
      <c r="C378" s="307" t="s">
        <v>180</v>
      </c>
      <c r="D378" s="68" t="s">
        <v>95</v>
      </c>
      <c r="E378" s="647">
        <v>1</v>
      </c>
      <c r="F378" s="63">
        <v>1</v>
      </c>
      <c r="G378" t="s">
        <v>528</v>
      </c>
      <c r="H378" s="249">
        <v>1</v>
      </c>
      <c r="I378" s="655"/>
      <c r="J378" s="10">
        <v>1</v>
      </c>
      <c r="K378" s="10">
        <v>1</v>
      </c>
      <c r="L378" s="10">
        <v>2</v>
      </c>
      <c r="M378" s="10">
        <v>2</v>
      </c>
      <c r="N378" s="405">
        <f t="shared" si="7"/>
        <v>0.35859414261160716</v>
      </c>
      <c r="O378" s="502"/>
      <c r="P378" s="100" t="s">
        <v>529</v>
      </c>
    </row>
    <row r="379" spans="1:19">
      <c r="A379" s="97" t="s">
        <v>256</v>
      </c>
      <c r="B379" s="68" t="s">
        <v>267</v>
      </c>
      <c r="C379" s="307" t="s">
        <v>180</v>
      </c>
      <c r="D379" s="68" t="s">
        <v>93</v>
      </c>
      <c r="E379" s="647">
        <v>0.67391304347826086</v>
      </c>
      <c r="F379" s="63">
        <v>1</v>
      </c>
      <c r="G379" t="s">
        <v>528</v>
      </c>
      <c r="H379" s="249">
        <v>1</v>
      </c>
      <c r="I379" s="655"/>
      <c r="J379" s="10">
        <v>1</v>
      </c>
      <c r="K379" s="10">
        <v>1</v>
      </c>
      <c r="L379" s="10">
        <v>2</v>
      </c>
      <c r="M379" s="10">
        <v>2</v>
      </c>
      <c r="N379" s="405">
        <f t="shared" si="7"/>
        <v>0.35859414261160716</v>
      </c>
      <c r="O379" s="502"/>
      <c r="P379" s="100" t="s">
        <v>529</v>
      </c>
    </row>
    <row r="380" spans="1:19">
      <c r="A380" s="97" t="s">
        <v>256</v>
      </c>
      <c r="B380" s="68" t="s">
        <v>267</v>
      </c>
      <c r="C380" s="307" t="s">
        <v>180</v>
      </c>
      <c r="D380" s="68" t="s">
        <v>98</v>
      </c>
      <c r="E380" s="647">
        <v>1</v>
      </c>
      <c r="F380" s="63">
        <v>1</v>
      </c>
      <c r="G380" t="s">
        <v>528</v>
      </c>
      <c r="H380" s="249">
        <v>1</v>
      </c>
      <c r="I380" s="655"/>
      <c r="J380" s="10">
        <v>1</v>
      </c>
      <c r="K380" s="10">
        <v>1</v>
      </c>
      <c r="L380" s="10">
        <v>2</v>
      </c>
      <c r="M380" s="10">
        <v>2</v>
      </c>
      <c r="N380" s="405">
        <f t="shared" si="7"/>
        <v>0.35859414261160716</v>
      </c>
      <c r="O380" s="502"/>
      <c r="P380" s="100" t="s">
        <v>529</v>
      </c>
    </row>
    <row r="381" spans="1:19">
      <c r="A381" s="97" t="s">
        <v>256</v>
      </c>
      <c r="B381" s="68" t="s">
        <v>267</v>
      </c>
      <c r="C381" s="307" t="s">
        <v>182</v>
      </c>
      <c r="D381" s="68" t="s">
        <v>85</v>
      </c>
      <c r="E381" s="647">
        <v>0.15660919540229881</v>
      </c>
      <c r="F381" s="34">
        <v>1</v>
      </c>
      <c r="G381" t="s">
        <v>528</v>
      </c>
      <c r="H381" s="249">
        <v>1</v>
      </c>
      <c r="I381" s="653"/>
      <c r="J381" s="10">
        <v>1</v>
      </c>
      <c r="K381" s="10">
        <v>1</v>
      </c>
      <c r="L381" s="10">
        <v>2</v>
      </c>
      <c r="M381" s="10">
        <v>2</v>
      </c>
      <c r="N381" s="405">
        <f t="shared" si="7"/>
        <v>0.35859414261160716</v>
      </c>
      <c r="O381" s="502"/>
      <c r="P381" s="100" t="s">
        <v>529</v>
      </c>
    </row>
    <row r="382" spans="1:19">
      <c r="A382" s="97" t="s">
        <v>256</v>
      </c>
      <c r="B382" s="68" t="s">
        <v>267</v>
      </c>
      <c r="C382" s="307" t="s">
        <v>182</v>
      </c>
      <c r="D382" s="68" t="s">
        <v>86</v>
      </c>
      <c r="E382" s="647">
        <v>0.1689198415949747</v>
      </c>
      <c r="F382" s="34">
        <v>1</v>
      </c>
      <c r="G382" t="s">
        <v>528</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529</v>
      </c>
    </row>
    <row r="383" spans="1:19">
      <c r="A383" s="97" t="s">
        <v>256</v>
      </c>
      <c r="B383" s="68" t="s">
        <v>267</v>
      </c>
      <c r="C383" s="307" t="s">
        <v>182</v>
      </c>
      <c r="D383" s="68" t="s">
        <v>87</v>
      </c>
      <c r="E383" s="647">
        <v>9.9585062240663894E-2</v>
      </c>
      <c r="F383" s="34">
        <v>1</v>
      </c>
      <c r="G383" t="s">
        <v>528</v>
      </c>
      <c r="I383" s="249">
        <v>1</v>
      </c>
      <c r="J383" s="10">
        <v>1</v>
      </c>
      <c r="K383" s="10">
        <v>1</v>
      </c>
      <c r="L383" s="10">
        <v>2</v>
      </c>
      <c r="M383" s="10">
        <v>2</v>
      </c>
      <c r="N383" s="405">
        <f t="shared" si="8"/>
        <v>0.35859414261160716</v>
      </c>
      <c r="O383" s="502"/>
      <c r="P383" s="100" t="s">
        <v>529</v>
      </c>
    </row>
    <row r="384" spans="1:19">
      <c r="A384" s="97" t="s">
        <v>256</v>
      </c>
      <c r="B384" s="68" t="s">
        <v>267</v>
      </c>
      <c r="C384" s="307" t="s">
        <v>182</v>
      </c>
      <c r="D384" s="68" t="s">
        <v>88</v>
      </c>
      <c r="E384" s="647">
        <v>0.16331787738279241</v>
      </c>
      <c r="F384" s="34">
        <v>1</v>
      </c>
      <c r="G384" t="s">
        <v>528</v>
      </c>
      <c r="I384" s="249">
        <v>1</v>
      </c>
      <c r="J384" s="10">
        <v>1</v>
      </c>
      <c r="K384" s="10">
        <v>1</v>
      </c>
      <c r="L384" s="10">
        <v>2</v>
      </c>
      <c r="M384" s="10">
        <v>2</v>
      </c>
      <c r="N384" s="405">
        <f t="shared" si="8"/>
        <v>0.35859414261160716</v>
      </c>
      <c r="O384" s="502"/>
      <c r="P384" s="100" t="s">
        <v>529</v>
      </c>
    </row>
    <row r="385" spans="1:16">
      <c r="A385" s="97" t="s">
        <v>256</v>
      </c>
      <c r="B385" s="68" t="s">
        <v>267</v>
      </c>
      <c r="C385" s="307" t="s">
        <v>182</v>
      </c>
      <c r="D385" s="68" t="s">
        <v>89</v>
      </c>
      <c r="E385" s="647">
        <v>4.9733570159857902E-2</v>
      </c>
      <c r="F385" s="34">
        <v>1</v>
      </c>
      <c r="G385" t="s">
        <v>528</v>
      </c>
      <c r="I385" s="249">
        <v>1</v>
      </c>
      <c r="J385" s="10">
        <v>1</v>
      </c>
      <c r="K385" s="10">
        <v>1</v>
      </c>
      <c r="L385" s="10">
        <v>2</v>
      </c>
      <c r="M385" s="10">
        <v>2</v>
      </c>
      <c r="N385" s="405">
        <f t="shared" si="8"/>
        <v>0.35859414261160716</v>
      </c>
      <c r="O385" s="502"/>
      <c r="P385" s="100" t="s">
        <v>529</v>
      </c>
    </row>
    <row r="386" spans="1:16">
      <c r="A386" s="97" t="s">
        <v>256</v>
      </c>
      <c r="B386" s="68" t="s">
        <v>267</v>
      </c>
      <c r="C386" s="307" t="s">
        <v>182</v>
      </c>
      <c r="D386" s="68" t="s">
        <v>90</v>
      </c>
      <c r="E386" s="647">
        <v>0.225984796129924</v>
      </c>
      <c r="F386" s="34">
        <v>1</v>
      </c>
      <c r="G386" t="s">
        <v>528</v>
      </c>
      <c r="I386" s="249">
        <v>1</v>
      </c>
      <c r="J386" s="10">
        <v>1</v>
      </c>
      <c r="K386" s="10">
        <v>1</v>
      </c>
      <c r="L386" s="10">
        <v>2</v>
      </c>
      <c r="M386" s="10">
        <v>2</v>
      </c>
      <c r="N386" s="405">
        <f t="shared" si="8"/>
        <v>0.35859414261160716</v>
      </c>
      <c r="O386" s="502"/>
      <c r="P386" s="100" t="s">
        <v>529</v>
      </c>
    </row>
    <row r="387" spans="1:16">
      <c r="A387" s="97" t="s">
        <v>256</v>
      </c>
      <c r="B387" s="68" t="s">
        <v>267</v>
      </c>
      <c r="C387" s="307" t="s">
        <v>182</v>
      </c>
      <c r="D387" s="68" t="s">
        <v>91</v>
      </c>
      <c r="E387" s="647">
        <v>9.5582536812193225E-2</v>
      </c>
      <c r="F387" s="34">
        <v>1</v>
      </c>
      <c r="G387" t="s">
        <v>528</v>
      </c>
      <c r="I387" s="249">
        <v>1</v>
      </c>
      <c r="J387" s="10">
        <v>1</v>
      </c>
      <c r="K387" s="10">
        <v>1</v>
      </c>
      <c r="L387" s="10">
        <v>2</v>
      </c>
      <c r="M387" s="10">
        <v>2</v>
      </c>
      <c r="N387" s="405">
        <f t="shared" si="8"/>
        <v>0.35859414261160716</v>
      </c>
      <c r="O387" s="502"/>
      <c r="P387" s="100" t="s">
        <v>529</v>
      </c>
    </row>
    <row r="388" spans="1:16">
      <c r="A388" s="97" t="s">
        <v>256</v>
      </c>
      <c r="B388" s="68" t="s">
        <v>267</v>
      </c>
      <c r="C388" s="307" t="s">
        <v>182</v>
      </c>
      <c r="D388" s="68" t="s">
        <v>94</v>
      </c>
      <c r="E388" s="647">
        <v>0.24492099322799099</v>
      </c>
      <c r="F388" s="34">
        <v>1</v>
      </c>
      <c r="G388" t="s">
        <v>528</v>
      </c>
      <c r="I388" s="249">
        <v>1</v>
      </c>
      <c r="J388" s="10">
        <v>1</v>
      </c>
      <c r="K388" s="10">
        <v>1</v>
      </c>
      <c r="L388" s="10">
        <v>2</v>
      </c>
      <c r="M388" s="10">
        <v>2</v>
      </c>
      <c r="N388" s="405">
        <f t="shared" si="8"/>
        <v>0.35859414261160716</v>
      </c>
      <c r="O388" s="502"/>
      <c r="P388" s="100" t="s">
        <v>529</v>
      </c>
    </row>
    <row r="389" spans="1:16">
      <c r="A389" s="97" t="s">
        <v>256</v>
      </c>
      <c r="B389" s="68" t="s">
        <v>267</v>
      </c>
      <c r="C389" s="307" t="s">
        <v>182</v>
      </c>
      <c r="D389" s="68" t="s">
        <v>96</v>
      </c>
      <c r="E389" s="647">
        <v>0.19953775038520799</v>
      </c>
      <c r="F389" s="34">
        <v>1</v>
      </c>
      <c r="G389" t="s">
        <v>528</v>
      </c>
      <c r="I389" s="249">
        <v>1</v>
      </c>
      <c r="J389" s="10">
        <v>1</v>
      </c>
      <c r="K389" s="10">
        <v>1</v>
      </c>
      <c r="L389" s="10">
        <v>2</v>
      </c>
      <c r="M389" s="10">
        <v>2</v>
      </c>
      <c r="N389" s="405">
        <f t="shared" si="8"/>
        <v>0.35859414261160716</v>
      </c>
      <c r="O389" s="502"/>
      <c r="P389" s="100" t="s">
        <v>529</v>
      </c>
    </row>
    <row r="390" spans="1:16">
      <c r="A390" s="97" t="s">
        <v>256</v>
      </c>
      <c r="B390" s="68" t="s">
        <v>267</v>
      </c>
      <c r="C390" s="307" t="s">
        <v>182</v>
      </c>
      <c r="D390" s="68" t="s">
        <v>97</v>
      </c>
      <c r="E390" s="647">
        <v>0.3138111888111888</v>
      </c>
      <c r="F390" s="34">
        <v>1</v>
      </c>
      <c r="G390" t="s">
        <v>528</v>
      </c>
      <c r="I390" s="249">
        <v>1</v>
      </c>
      <c r="J390" s="10">
        <v>1</v>
      </c>
      <c r="K390" s="10">
        <v>1</v>
      </c>
      <c r="L390" s="10">
        <v>2</v>
      </c>
      <c r="M390" s="10">
        <v>2</v>
      </c>
      <c r="N390" s="405">
        <f t="shared" si="8"/>
        <v>0.35859414261160716</v>
      </c>
      <c r="O390" s="502"/>
      <c r="P390" s="100" t="s">
        <v>529</v>
      </c>
    </row>
    <row r="391" spans="1:16">
      <c r="A391" s="97" t="s">
        <v>256</v>
      </c>
      <c r="B391" s="68" t="s">
        <v>267</v>
      </c>
      <c r="C391" s="307" t="s">
        <v>182</v>
      </c>
      <c r="D391" s="68" t="s">
        <v>95</v>
      </c>
      <c r="E391" s="647">
        <v>0.2368318376902068</v>
      </c>
      <c r="F391" s="34">
        <v>1</v>
      </c>
      <c r="G391" t="s">
        <v>528</v>
      </c>
      <c r="I391" s="249">
        <v>1</v>
      </c>
      <c r="J391" s="10">
        <v>1</v>
      </c>
      <c r="K391" s="10">
        <v>1</v>
      </c>
      <c r="L391" s="10">
        <v>2</v>
      </c>
      <c r="M391" s="10">
        <v>2</v>
      </c>
      <c r="N391" s="405">
        <f t="shared" si="8"/>
        <v>0.35859414261160716</v>
      </c>
      <c r="O391" s="502"/>
      <c r="P391" s="100" t="s">
        <v>529</v>
      </c>
    </row>
    <row r="392" spans="1:16">
      <c r="A392" s="97" t="s">
        <v>256</v>
      </c>
      <c r="B392" s="68" t="s">
        <v>267</v>
      </c>
      <c r="C392" s="307" t="s">
        <v>182</v>
      </c>
      <c r="D392" s="68" t="s">
        <v>93</v>
      </c>
      <c r="E392" s="647">
        <v>0.16604287172507659</v>
      </c>
      <c r="F392" s="34">
        <v>1</v>
      </c>
      <c r="G392" t="s">
        <v>528</v>
      </c>
      <c r="I392" s="249">
        <v>1</v>
      </c>
      <c r="J392" s="10">
        <v>1</v>
      </c>
      <c r="K392" s="10">
        <v>1</v>
      </c>
      <c r="L392" s="10">
        <v>2</v>
      </c>
      <c r="M392" s="10">
        <v>2</v>
      </c>
      <c r="N392" s="405">
        <f t="shared" si="8"/>
        <v>0.35859414261160716</v>
      </c>
      <c r="O392" s="502"/>
      <c r="P392" s="100" t="s">
        <v>529</v>
      </c>
    </row>
    <row r="393" spans="1:16" ht="15" thickBot="1">
      <c r="A393" s="98" t="s">
        <v>256</v>
      </c>
      <c r="B393" s="72" t="s">
        <v>267</v>
      </c>
      <c r="C393" s="320" t="s">
        <v>182</v>
      </c>
      <c r="D393" s="72" t="s">
        <v>98</v>
      </c>
      <c r="E393" s="647">
        <v>0.34568127636163581</v>
      </c>
      <c r="F393" s="35">
        <v>1</v>
      </c>
      <c r="G393" s="504" t="s">
        <v>528</v>
      </c>
      <c r="H393" s="651"/>
      <c r="I393" s="252">
        <v>1</v>
      </c>
      <c r="J393" s="14">
        <v>1</v>
      </c>
      <c r="K393" s="14">
        <v>1</v>
      </c>
      <c r="L393" s="14">
        <v>2</v>
      </c>
      <c r="M393" s="14">
        <v>2</v>
      </c>
      <c r="N393" s="428">
        <f t="shared" si="8"/>
        <v>0.35859414261160716</v>
      </c>
      <c r="O393" s="503"/>
      <c r="P393" s="100" t="s">
        <v>529</v>
      </c>
    </row>
    <row r="394" spans="1:16">
      <c r="A394" s="7"/>
      <c r="B394" s="7"/>
      <c r="C394" s="1"/>
      <c r="D394" s="7"/>
      <c r="E394" s="120"/>
      <c r="F394" s="7"/>
      <c r="G394" s="7"/>
      <c r="H394" s="7"/>
      <c r="I394" s="7"/>
      <c r="J394" s="7"/>
      <c r="K394" s="7"/>
      <c r="L394" s="7"/>
      <c r="M394" s="7"/>
      <c r="N394" s="7"/>
      <c r="O394" s="7"/>
      <c r="P394" s="7"/>
    </row>
    <row r="395" spans="1:16" s="414" customFormat="1">
      <c r="A395" s="767" t="s">
        <v>1994</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1991</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1989</v>
      </c>
    </row>
    <row r="397" spans="1:16">
      <c r="A397" s="9" t="s">
        <v>256</v>
      </c>
      <c r="B397" s="9" t="s">
        <v>262</v>
      </c>
      <c r="C397" s="9" t="s">
        <v>139</v>
      </c>
      <c r="D397" s="9" t="s">
        <v>139</v>
      </c>
      <c r="E397" s="769">
        <f>0.05*(1-0.088)/100</f>
        <v>4.5600000000000003E-4</v>
      </c>
      <c r="F397" s="9">
        <v>2</v>
      </c>
      <c r="G397" s="186" t="s">
        <v>1991</v>
      </c>
      <c r="H397" s="10">
        <v>2</v>
      </c>
      <c r="I397" s="10">
        <v>2</v>
      </c>
      <c r="J397" s="10">
        <v>3</v>
      </c>
      <c r="K397" s="10">
        <v>3</v>
      </c>
      <c r="L397" s="10">
        <v>3</v>
      </c>
      <c r="M397" s="10">
        <v>2</v>
      </c>
      <c r="N397" s="405">
        <f t="shared" si="9"/>
        <v>0.67913051197703389</v>
      </c>
      <c r="O397" s="405">
        <f t="shared" si="10"/>
        <v>0.67913051197703389</v>
      </c>
      <c r="P397" s="762" t="s">
        <v>1989</v>
      </c>
    </row>
    <row r="398" spans="1:16">
      <c r="A398" s="224" t="s">
        <v>256</v>
      </c>
      <c r="B398" s="224" t="s">
        <v>427</v>
      </c>
      <c r="C398" s="224" t="s">
        <v>139</v>
      </c>
      <c r="D398" s="224" t="s">
        <v>139</v>
      </c>
      <c r="E398" s="768">
        <v>9.9999999999999995E-7</v>
      </c>
      <c r="F398" s="310">
        <v>2</v>
      </c>
      <c r="G398" s="186" t="s">
        <v>1995</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427</v>
      </c>
      <c r="C399" s="224" t="s">
        <v>139</v>
      </c>
      <c r="D399" s="224" t="s">
        <v>139</v>
      </c>
      <c r="E399" s="769">
        <f>0.05*0.088/100</f>
        <v>4.4000000000000006E-5</v>
      </c>
      <c r="F399" s="310">
        <v>2</v>
      </c>
      <c r="G399" s="186" t="s">
        <v>1995</v>
      </c>
      <c r="H399" s="224">
        <v>2</v>
      </c>
      <c r="I399" s="224">
        <v>2</v>
      </c>
      <c r="J399" s="224">
        <v>3</v>
      </c>
      <c r="K399" s="224">
        <v>3</v>
      </c>
      <c r="L399" s="224">
        <v>3</v>
      </c>
      <c r="M399" s="224">
        <v>2</v>
      </c>
      <c r="N399" s="405">
        <f t="shared" si="9"/>
        <v>0.67913051197703389</v>
      </c>
      <c r="O399" s="405">
        <f t="shared" si="10"/>
        <v>0.67913051197703389</v>
      </c>
      <c r="P399" s="224" t="s">
        <v>1996</v>
      </c>
    </row>
    <row r="400" spans="1:16">
      <c r="A400" s="9" t="s">
        <v>262</v>
      </c>
      <c r="B400" s="9" t="s">
        <v>258</v>
      </c>
      <c r="C400" s="9" t="s">
        <v>139</v>
      </c>
      <c r="D400" s="9" t="s">
        <v>139</v>
      </c>
      <c r="E400" s="242">
        <v>0.25</v>
      </c>
      <c r="F400" s="9">
        <v>2</v>
      </c>
      <c r="G400" s="186" t="s">
        <v>1992</v>
      </c>
      <c r="H400" s="10">
        <v>2</v>
      </c>
      <c r="I400" s="10">
        <v>2</v>
      </c>
      <c r="J400" s="10">
        <v>3</v>
      </c>
      <c r="K400" s="10">
        <v>3</v>
      </c>
      <c r="L400" s="10">
        <v>3</v>
      </c>
      <c r="M400" s="10">
        <v>2</v>
      </c>
      <c r="N400" s="405">
        <f t="shared" si="9"/>
        <v>0.67913051197703389</v>
      </c>
      <c r="O400" s="405">
        <f t="shared" si="10"/>
        <v>0.67913051197703389</v>
      </c>
      <c r="P400" s="9" t="s">
        <v>1990</v>
      </c>
    </row>
    <row r="401" spans="1:16">
      <c r="A401" s="9" t="s">
        <v>262</v>
      </c>
      <c r="B401" s="9" t="s">
        <v>251</v>
      </c>
      <c r="C401" s="9" t="s">
        <v>139</v>
      </c>
      <c r="D401" s="9" t="s">
        <v>139</v>
      </c>
      <c r="E401" s="242">
        <v>0.75</v>
      </c>
      <c r="F401" s="9">
        <v>2</v>
      </c>
      <c r="G401" s="186" t="s">
        <v>1992</v>
      </c>
      <c r="H401" s="10">
        <v>2</v>
      </c>
      <c r="I401" s="10">
        <v>2</v>
      </c>
      <c r="J401" s="10">
        <v>3</v>
      </c>
      <c r="K401" s="10">
        <v>3</v>
      </c>
      <c r="L401" s="10">
        <v>3</v>
      </c>
      <c r="M401" s="10">
        <v>2</v>
      </c>
      <c r="N401" s="405">
        <f t="shared" si="9"/>
        <v>0.67913051197703389</v>
      </c>
      <c r="O401" s="405">
        <f t="shared" si="10"/>
        <v>0.67913051197703389</v>
      </c>
      <c r="P401" s="9" t="s">
        <v>1990</v>
      </c>
    </row>
    <row r="402" spans="1:16">
      <c r="A402" s="9" t="s">
        <v>259</v>
      </c>
      <c r="B402" s="9" t="s">
        <v>261</v>
      </c>
      <c r="C402" s="9" t="s">
        <v>139</v>
      </c>
      <c r="D402" s="9" t="s">
        <v>139</v>
      </c>
      <c r="E402" s="769">
        <v>9.9999999999999995E-7</v>
      </c>
      <c r="F402" s="247">
        <v>2</v>
      </c>
      <c r="G402" s="186" t="s">
        <v>1991</v>
      </c>
      <c r="H402" s="172">
        <v>2</v>
      </c>
      <c r="I402" s="10">
        <v>2</v>
      </c>
      <c r="J402" s="10">
        <v>3</v>
      </c>
      <c r="K402" s="10">
        <v>3</v>
      </c>
      <c r="L402" s="10">
        <v>3</v>
      </c>
      <c r="M402" s="10">
        <v>2</v>
      </c>
      <c r="N402" s="405">
        <f t="shared" si="9"/>
        <v>0.67913051197703389</v>
      </c>
      <c r="O402" s="405">
        <f t="shared" si="10"/>
        <v>0.67913051197703389</v>
      </c>
      <c r="P402" s="762" t="s">
        <v>1989</v>
      </c>
    </row>
    <row r="403" spans="1:16">
      <c r="A403" s="9" t="s">
        <v>259</v>
      </c>
      <c r="B403" s="9" t="s">
        <v>261</v>
      </c>
      <c r="C403" s="9" t="s">
        <v>139</v>
      </c>
      <c r="D403" s="9" t="s">
        <v>139</v>
      </c>
      <c r="E403" s="769">
        <v>4.0000000000000002E-4</v>
      </c>
      <c r="F403" s="247">
        <v>2</v>
      </c>
      <c r="G403" s="186" t="s">
        <v>1991</v>
      </c>
      <c r="H403" s="172">
        <v>2</v>
      </c>
      <c r="I403" s="10">
        <v>2</v>
      </c>
      <c r="J403" s="10">
        <v>3</v>
      </c>
      <c r="K403" s="10">
        <v>3</v>
      </c>
      <c r="L403" s="10">
        <v>3</v>
      </c>
      <c r="M403" s="10">
        <v>2</v>
      </c>
      <c r="N403" s="405">
        <f t="shared" si="9"/>
        <v>0.67913051197703389</v>
      </c>
      <c r="O403" s="405">
        <f t="shared" si="10"/>
        <v>0.67913051197703389</v>
      </c>
      <c r="P403" s="762" t="s">
        <v>1989</v>
      </c>
    </row>
    <row r="404" spans="1:16">
      <c r="A404" s="119" t="s">
        <v>109</v>
      </c>
      <c r="B404" s="119" t="s">
        <v>261</v>
      </c>
      <c r="C404" s="119" t="s">
        <v>139</v>
      </c>
      <c r="D404" s="119" t="s">
        <v>139</v>
      </c>
      <c r="E404" s="778">
        <v>9.9999999999999995E-7</v>
      </c>
      <c r="F404" s="312">
        <v>2</v>
      </c>
      <c r="G404" s="186" t="s">
        <v>1991</v>
      </c>
      <c r="H404" s="175">
        <v>2</v>
      </c>
      <c r="I404" s="15">
        <v>2</v>
      </c>
      <c r="J404" s="15">
        <v>3</v>
      </c>
      <c r="K404" s="15">
        <v>3</v>
      </c>
      <c r="L404" s="15">
        <v>3</v>
      </c>
      <c r="M404" s="15">
        <v>2</v>
      </c>
      <c r="N404" s="424">
        <f t="shared" si="9"/>
        <v>0.67913051197703389</v>
      </c>
      <c r="O404" s="424">
        <f t="shared" si="10"/>
        <v>0.67913051197703389</v>
      </c>
      <c r="P404" s="119" t="s">
        <v>521</v>
      </c>
    </row>
    <row r="405" spans="1:16">
      <c r="A405" s="9" t="s">
        <v>109</v>
      </c>
      <c r="B405" s="9" t="s">
        <v>261</v>
      </c>
      <c r="C405" s="9" t="s">
        <v>139</v>
      </c>
      <c r="D405" s="9" t="s">
        <v>139</v>
      </c>
      <c r="E405" s="769">
        <v>4.0000000000000002E-4</v>
      </c>
      <c r="F405" s="247">
        <v>2</v>
      </c>
      <c r="G405" s="186" t="s">
        <v>1991</v>
      </c>
      <c r="H405" s="172">
        <v>2</v>
      </c>
      <c r="I405" s="10">
        <v>2</v>
      </c>
      <c r="J405" s="10">
        <v>3</v>
      </c>
      <c r="K405" s="10">
        <v>3</v>
      </c>
      <c r="L405" s="10">
        <v>3</v>
      </c>
      <c r="M405" s="10">
        <v>2</v>
      </c>
      <c r="N405" s="405">
        <f t="shared" si="9"/>
        <v>0.67913051197703389</v>
      </c>
      <c r="O405" s="405">
        <f t="shared" si="10"/>
        <v>0.67913051197703389</v>
      </c>
      <c r="P405" s="9" t="s">
        <v>521</v>
      </c>
    </row>
    <row r="406" spans="1:16" ht="15.75" customHeight="1">
      <c r="A406" s="9" t="s">
        <v>261</v>
      </c>
      <c r="B406" s="9" t="s">
        <v>254</v>
      </c>
      <c r="C406" s="9" t="s">
        <v>139</v>
      </c>
      <c r="D406" s="9" t="s">
        <v>139</v>
      </c>
      <c r="E406" s="769">
        <v>4.0000000000000001E-3</v>
      </c>
      <c r="F406" s="247">
        <v>2</v>
      </c>
      <c r="G406" s="186" t="s">
        <v>1992</v>
      </c>
      <c r="H406" s="172">
        <v>2</v>
      </c>
      <c r="I406" s="10">
        <v>2</v>
      </c>
      <c r="J406" s="10">
        <v>3</v>
      </c>
      <c r="K406" s="10">
        <v>3</v>
      </c>
      <c r="L406" s="10">
        <v>3</v>
      </c>
      <c r="M406" s="10">
        <v>2</v>
      </c>
      <c r="N406" s="405">
        <f t="shared" si="9"/>
        <v>0.67913051197703389</v>
      </c>
      <c r="O406" s="405">
        <f t="shared" si="10"/>
        <v>0.67913051197703389</v>
      </c>
      <c r="P406" s="9" t="s">
        <v>1990</v>
      </c>
    </row>
    <row r="407" spans="1:16" ht="15.75" customHeight="1">
      <c r="A407" s="9" t="s">
        <v>261</v>
      </c>
      <c r="B407" s="9" t="s">
        <v>251</v>
      </c>
      <c r="C407" s="9" t="s">
        <v>139</v>
      </c>
      <c r="D407" s="9" t="s">
        <v>139</v>
      </c>
      <c r="E407" s="769">
        <v>0.996</v>
      </c>
      <c r="F407" s="247">
        <v>2</v>
      </c>
      <c r="G407" s="186" t="s">
        <v>1992</v>
      </c>
      <c r="H407" s="172">
        <v>2</v>
      </c>
      <c r="I407" s="10">
        <v>2</v>
      </c>
      <c r="J407" s="10">
        <v>3</v>
      </c>
      <c r="K407" s="10">
        <v>3</v>
      </c>
      <c r="L407" s="10">
        <v>3</v>
      </c>
      <c r="M407" s="10">
        <v>2</v>
      </c>
      <c r="N407" s="405">
        <f t="shared" si="9"/>
        <v>0.67913051197703389</v>
      </c>
      <c r="O407" s="405">
        <f t="shared" si="10"/>
        <v>0.67913051197703389</v>
      </c>
      <c r="P407" s="9" t="s">
        <v>1990</v>
      </c>
    </row>
    <row r="409" spans="1:16" s="1071" customFormat="1">
      <c r="A409" s="1071" t="s">
        <v>530</v>
      </c>
    </row>
    <row r="410" spans="1:16" s="1071" customFormat="1"/>
    <row r="411" spans="1:16" s="222" customFormat="1">
      <c r="A411" s="222" t="s">
        <v>531</v>
      </c>
    </row>
    <row r="413" spans="1:16" ht="15">
      <c r="A413" s="656" t="s">
        <v>532</v>
      </c>
      <c r="B413" s="656" t="s">
        <v>533</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534</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534</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535</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536</v>
      </c>
      <c r="B417" s="224" t="s">
        <v>537</v>
      </c>
      <c r="C417" s="224" t="s">
        <v>538</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539</v>
      </c>
      <c r="B418" s="224" t="s">
        <v>537</v>
      </c>
      <c r="C418" s="224" t="s">
        <v>538</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540</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541</v>
      </c>
      <c r="B420" s="224" t="s">
        <v>537</v>
      </c>
      <c r="C420" s="224" t="s">
        <v>538</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542</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543</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544</v>
      </c>
      <c r="B423" s="224" t="s">
        <v>537</v>
      </c>
      <c r="C423" s="224" t="s">
        <v>538</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545</v>
      </c>
      <c r="B424" s="224"/>
      <c r="C424" s="224" t="s">
        <v>546</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547</v>
      </c>
      <c r="B425" s="224" t="s">
        <v>537</v>
      </c>
      <c r="C425" s="224" t="s">
        <v>538</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548</v>
      </c>
      <c r="B426" s="224"/>
      <c r="C426" s="224" t="s">
        <v>546</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549</v>
      </c>
      <c r="B427" s="224" t="s">
        <v>550</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551</v>
      </c>
      <c r="B428" s="224" t="s">
        <v>550</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552</v>
      </c>
      <c r="B429" s="224" t="s">
        <v>537</v>
      </c>
      <c r="C429" s="224" t="s">
        <v>538</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553</v>
      </c>
      <c r="B430" s="224" t="s">
        <v>537</v>
      </c>
      <c r="C430" s="224" t="s">
        <v>538</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554</v>
      </c>
      <c r="B431" s="224" t="s">
        <v>537</v>
      </c>
      <c r="C431" s="224" t="s">
        <v>538</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555</v>
      </c>
      <c r="B432" s="224" t="s">
        <v>537</v>
      </c>
      <c r="C432" s="224" t="s">
        <v>538</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556</v>
      </c>
      <c r="B433" s="224" t="s">
        <v>537</v>
      </c>
      <c r="C433" s="224" t="s">
        <v>538</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557</v>
      </c>
      <c r="B434" s="224" t="s">
        <v>537</v>
      </c>
      <c r="C434" s="224" t="s">
        <v>538</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558</v>
      </c>
      <c r="B435" s="224"/>
      <c r="C435" s="224" t="s">
        <v>546</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559</v>
      </c>
      <c r="B436" s="224" t="s">
        <v>537</v>
      </c>
      <c r="C436" s="224" t="s">
        <v>538</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560</v>
      </c>
      <c r="B437" s="224" t="s">
        <v>537</v>
      </c>
      <c r="C437" s="224" t="s">
        <v>538</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561</v>
      </c>
      <c r="B438" s="224" t="s">
        <v>537</v>
      </c>
      <c r="C438" s="224" t="s">
        <v>538</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562</v>
      </c>
      <c r="B439" s="224" t="s">
        <v>537</v>
      </c>
      <c r="C439" s="224" t="s">
        <v>538</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563</v>
      </c>
      <c r="B440" s="224" t="s">
        <v>537</v>
      </c>
      <c r="C440" s="224" t="s">
        <v>538</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564</v>
      </c>
      <c r="B441" s="224"/>
      <c r="C441" s="224" t="s">
        <v>546</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565</v>
      </c>
      <c r="B442" s="224" t="s">
        <v>537</v>
      </c>
      <c r="C442" s="224" t="s">
        <v>538</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566</v>
      </c>
      <c r="B443" s="224"/>
      <c r="C443" s="224" t="s">
        <v>546</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567</v>
      </c>
      <c r="B444" s="224"/>
      <c r="C444" s="224" t="s">
        <v>546</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568</v>
      </c>
      <c r="B445" s="224" t="s">
        <v>537</v>
      </c>
      <c r="C445" s="224" t="s">
        <v>538</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569</v>
      </c>
      <c r="B446" s="224" t="s">
        <v>537</v>
      </c>
      <c r="C446" s="224" t="s">
        <v>538</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569</v>
      </c>
      <c r="B447" s="224" t="s">
        <v>537</v>
      </c>
      <c r="C447" s="224" t="s">
        <v>538</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570</v>
      </c>
      <c r="B448" s="224"/>
      <c r="C448" s="224" t="s">
        <v>546</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571</v>
      </c>
      <c r="B449" s="224"/>
      <c r="C449" s="224" t="s">
        <v>546</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572</v>
      </c>
      <c r="B450" s="224" t="s">
        <v>537</v>
      </c>
      <c r="C450" s="224" t="s">
        <v>538</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573</v>
      </c>
      <c r="B451" s="224"/>
      <c r="C451" s="224" t="s">
        <v>546</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574</v>
      </c>
      <c r="B452" s="224" t="s">
        <v>537</v>
      </c>
      <c r="C452" s="224" t="s">
        <v>538</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575</v>
      </c>
    </row>
    <row r="457" spans="1:16">
      <c r="A457" s="224" t="s">
        <v>576</v>
      </c>
      <c r="B457" s="224" t="s">
        <v>577</v>
      </c>
      <c r="C457" s="224" t="s">
        <v>578</v>
      </c>
      <c r="D457" s="224" t="s">
        <v>532</v>
      </c>
      <c r="E457" s="224" t="s">
        <v>579</v>
      </c>
      <c r="F457" s="224" t="s">
        <v>580</v>
      </c>
      <c r="G457" s="224" t="s">
        <v>581</v>
      </c>
    </row>
    <row r="458" spans="1:16">
      <c r="A458" s="224" t="s">
        <v>582</v>
      </c>
      <c r="B458" s="224" t="s">
        <v>583</v>
      </c>
      <c r="C458" s="224" t="s">
        <v>584</v>
      </c>
      <c r="D458" s="224">
        <v>39011010</v>
      </c>
      <c r="E458" s="224" t="s">
        <v>585</v>
      </c>
      <c r="F458" s="224" t="str">
        <f t="shared" ref="F458:F505" si="11">LEFT(D458,6)</f>
        <v>390110</v>
      </c>
      <c r="G458" s="224" t="s">
        <v>85</v>
      </c>
    </row>
    <row r="459" spans="1:16">
      <c r="A459" s="224" t="s">
        <v>586</v>
      </c>
      <c r="B459" s="224" t="s">
        <v>587</v>
      </c>
      <c r="C459" s="224" t="s">
        <v>588</v>
      </c>
      <c r="D459" s="224">
        <v>39011090</v>
      </c>
      <c r="E459" s="224" t="s">
        <v>589</v>
      </c>
      <c r="F459" s="224" t="str">
        <f t="shared" si="11"/>
        <v>390110</v>
      </c>
      <c r="G459" s="224" t="s">
        <v>85</v>
      </c>
    </row>
    <row r="460" spans="1:16">
      <c r="A460" s="224" t="s">
        <v>590</v>
      </c>
      <c r="B460" s="224" t="s">
        <v>591</v>
      </c>
      <c r="C460" s="224" t="s">
        <v>592</v>
      </c>
      <c r="D460" s="224">
        <v>39012010</v>
      </c>
      <c r="E460" s="224" t="s">
        <v>593</v>
      </c>
      <c r="F460" s="224" t="str">
        <f t="shared" si="11"/>
        <v>390120</v>
      </c>
      <c r="G460" s="224" t="s">
        <v>86</v>
      </c>
    </row>
    <row r="461" spans="1:16">
      <c r="A461" s="224" t="s">
        <v>594</v>
      </c>
      <c r="B461" s="224" t="s">
        <v>595</v>
      </c>
      <c r="C461" s="224" t="s">
        <v>596</v>
      </c>
      <c r="D461" s="224">
        <v>39013000</v>
      </c>
      <c r="E461" s="224" t="s">
        <v>597</v>
      </c>
      <c r="F461" s="224" t="str">
        <f t="shared" si="11"/>
        <v>390130</v>
      </c>
      <c r="G461" s="224" t="s">
        <v>98</v>
      </c>
    </row>
    <row r="462" spans="1:16">
      <c r="A462" s="224" t="s">
        <v>598</v>
      </c>
      <c r="B462" s="224" t="s">
        <v>599</v>
      </c>
      <c r="C462" s="224" t="s">
        <v>600</v>
      </c>
      <c r="D462" s="224">
        <v>39014000</v>
      </c>
      <c r="E462" s="224" t="s">
        <v>601</v>
      </c>
      <c r="F462" s="224" t="str">
        <f t="shared" si="11"/>
        <v>390140</v>
      </c>
      <c r="G462" s="224" t="s">
        <v>98</v>
      </c>
    </row>
    <row r="463" spans="1:16">
      <c r="A463" s="224" t="s">
        <v>602</v>
      </c>
      <c r="B463" s="224" t="s">
        <v>603</v>
      </c>
      <c r="C463" s="224" t="s">
        <v>604</v>
      </c>
      <c r="D463" s="224">
        <v>39021000</v>
      </c>
      <c r="E463" s="224" t="s">
        <v>603</v>
      </c>
      <c r="F463" s="224" t="str">
        <f t="shared" si="11"/>
        <v>390210</v>
      </c>
      <c r="G463" s="224" t="s">
        <v>87</v>
      </c>
    </row>
    <row r="464" spans="1:16">
      <c r="A464" s="224" t="s">
        <v>605</v>
      </c>
      <c r="B464" s="224" t="s">
        <v>606</v>
      </c>
      <c r="C464" s="224" t="s">
        <v>607</v>
      </c>
      <c r="D464" s="224">
        <v>39022000</v>
      </c>
      <c r="E464" s="224" t="s">
        <v>608</v>
      </c>
      <c r="F464" s="224" t="str">
        <f t="shared" si="11"/>
        <v>390220</v>
      </c>
      <c r="G464" s="224" t="s">
        <v>98</v>
      </c>
    </row>
    <row r="465" spans="1:7">
      <c r="A465" s="224" t="s">
        <v>609</v>
      </c>
      <c r="B465" s="224" t="s">
        <v>610</v>
      </c>
      <c r="C465" s="224" t="s">
        <v>611</v>
      </c>
      <c r="D465" s="224">
        <v>39031100</v>
      </c>
      <c r="E465" s="224" t="s">
        <v>612</v>
      </c>
      <c r="F465" s="224" t="str">
        <f t="shared" si="11"/>
        <v>390311</v>
      </c>
      <c r="G465" s="224" t="s">
        <v>89</v>
      </c>
    </row>
    <row r="466" spans="1:7">
      <c r="A466" s="224" t="s">
        <v>613</v>
      </c>
      <c r="B466" s="224" t="s">
        <v>614</v>
      </c>
      <c r="C466" s="224" t="s">
        <v>615</v>
      </c>
      <c r="D466" s="224">
        <v>39031900</v>
      </c>
      <c r="E466" s="224" t="s">
        <v>616</v>
      </c>
      <c r="F466" s="224" t="str">
        <f t="shared" si="11"/>
        <v>390319</v>
      </c>
      <c r="G466" s="224" t="s">
        <v>88</v>
      </c>
    </row>
    <row r="467" spans="1:7">
      <c r="A467" s="224" t="s">
        <v>617</v>
      </c>
      <c r="B467" s="224" t="s">
        <v>618</v>
      </c>
      <c r="C467" s="224" t="s">
        <v>619</v>
      </c>
      <c r="D467" s="224">
        <v>39032000</v>
      </c>
      <c r="E467" s="224" t="s">
        <v>620</v>
      </c>
      <c r="F467" s="224" t="str">
        <f t="shared" si="11"/>
        <v>390320</v>
      </c>
      <c r="G467" s="224" t="s">
        <v>98</v>
      </c>
    </row>
    <row r="468" spans="1:7">
      <c r="A468" s="224" t="s">
        <v>621</v>
      </c>
      <c r="B468" s="224" t="s">
        <v>622</v>
      </c>
      <c r="C468" s="224" t="s">
        <v>623</v>
      </c>
      <c r="D468" s="224">
        <v>39033000</v>
      </c>
      <c r="E468" s="224" t="s">
        <v>624</v>
      </c>
      <c r="F468" s="224" t="str">
        <f t="shared" si="11"/>
        <v>390330</v>
      </c>
      <c r="G468" s="224" t="s">
        <v>94</v>
      </c>
    </row>
    <row r="469" spans="1:7">
      <c r="A469" s="224" t="s">
        <v>625</v>
      </c>
      <c r="B469" s="224" t="s">
        <v>626</v>
      </c>
      <c r="C469" s="224" t="s">
        <v>627</v>
      </c>
      <c r="D469" s="224">
        <v>39039010</v>
      </c>
      <c r="E469" s="224" t="s">
        <v>628</v>
      </c>
      <c r="F469" s="224" t="str">
        <f t="shared" si="11"/>
        <v>390390</v>
      </c>
      <c r="G469" s="224" t="s">
        <v>98</v>
      </c>
    </row>
    <row r="470" spans="1:7">
      <c r="A470" s="224" t="s">
        <v>629</v>
      </c>
      <c r="B470" s="224" t="s">
        <v>630</v>
      </c>
      <c r="C470" s="224" t="s">
        <v>631</v>
      </c>
      <c r="D470" s="224">
        <v>39041000</v>
      </c>
      <c r="E470" s="224" t="s">
        <v>632</v>
      </c>
      <c r="F470" s="224" t="str">
        <f t="shared" si="11"/>
        <v>390410</v>
      </c>
      <c r="G470" s="224" t="s">
        <v>90</v>
      </c>
    </row>
    <row r="471" spans="1:7">
      <c r="A471" s="224" t="s">
        <v>633</v>
      </c>
      <c r="B471" s="224" t="s">
        <v>634</v>
      </c>
      <c r="C471" s="224" t="s">
        <v>635</v>
      </c>
      <c r="D471" s="224">
        <v>39042100</v>
      </c>
      <c r="E471" s="224" t="s">
        <v>636</v>
      </c>
      <c r="F471" s="224" t="str">
        <f t="shared" si="11"/>
        <v>390421</v>
      </c>
      <c r="G471" s="224" t="s">
        <v>90</v>
      </c>
    </row>
    <row r="472" spans="1:7">
      <c r="A472" s="224" t="s">
        <v>637</v>
      </c>
      <c r="B472" s="224" t="s">
        <v>638</v>
      </c>
      <c r="C472" s="224" t="s">
        <v>639</v>
      </c>
      <c r="D472" s="224">
        <v>39042200</v>
      </c>
      <c r="E472" s="224" t="s">
        <v>640</v>
      </c>
      <c r="F472" s="224" t="str">
        <f t="shared" si="11"/>
        <v>390422</v>
      </c>
      <c r="G472" s="224" t="s">
        <v>90</v>
      </c>
    </row>
    <row r="473" spans="1:7">
      <c r="A473" s="224" t="s">
        <v>641</v>
      </c>
      <c r="B473" s="224" t="s">
        <v>642</v>
      </c>
      <c r="C473" s="224" t="s">
        <v>643</v>
      </c>
      <c r="D473" s="224">
        <v>39043000</v>
      </c>
      <c r="E473" s="224" t="s">
        <v>644</v>
      </c>
      <c r="F473" s="224" t="str">
        <f t="shared" si="11"/>
        <v>390430</v>
      </c>
      <c r="G473" s="224" t="s">
        <v>98</v>
      </c>
    </row>
    <row r="474" spans="1:7">
      <c r="A474" s="224" t="s">
        <v>645</v>
      </c>
      <c r="B474" s="224" t="s">
        <v>646</v>
      </c>
      <c r="C474" s="224" t="s">
        <v>647</v>
      </c>
      <c r="D474" s="224">
        <v>39045010</v>
      </c>
      <c r="E474" s="224" t="s">
        <v>648</v>
      </c>
      <c r="F474" s="224" t="str">
        <f t="shared" si="11"/>
        <v>390450</v>
      </c>
      <c r="G474" s="224" t="s">
        <v>98</v>
      </c>
    </row>
    <row r="475" spans="1:7">
      <c r="A475" s="224" t="s">
        <v>649</v>
      </c>
      <c r="B475" s="224" t="s">
        <v>650</v>
      </c>
      <c r="C475" s="224"/>
      <c r="D475" s="224">
        <v>39046100</v>
      </c>
      <c r="E475" s="224" t="s">
        <v>651</v>
      </c>
      <c r="F475" s="224" t="str">
        <f t="shared" si="11"/>
        <v>390461</v>
      </c>
      <c r="G475" s="224" t="s">
        <v>98</v>
      </c>
    </row>
    <row r="476" spans="1:7">
      <c r="A476" s="224" t="s">
        <v>652</v>
      </c>
      <c r="B476" s="224" t="s">
        <v>653</v>
      </c>
      <c r="C476" s="224" t="s">
        <v>654</v>
      </c>
      <c r="D476" s="224">
        <v>39051200</v>
      </c>
      <c r="E476" s="224" t="s">
        <v>655</v>
      </c>
      <c r="F476" s="224" t="str">
        <f t="shared" si="11"/>
        <v>390512</v>
      </c>
      <c r="G476" s="224" t="s">
        <v>98</v>
      </c>
    </row>
    <row r="477" spans="1:7">
      <c r="A477" s="224" t="s">
        <v>656</v>
      </c>
      <c r="B477" s="224" t="s">
        <v>657</v>
      </c>
      <c r="C477" s="224" t="s">
        <v>658</v>
      </c>
      <c r="D477" s="224">
        <v>39051900</v>
      </c>
      <c r="E477" s="224" t="s">
        <v>659</v>
      </c>
      <c r="F477" s="224" t="str">
        <f t="shared" si="11"/>
        <v>390519</v>
      </c>
      <c r="G477" s="224" t="s">
        <v>98</v>
      </c>
    </row>
    <row r="478" spans="1:7">
      <c r="A478" s="224" t="s">
        <v>660</v>
      </c>
      <c r="B478" s="224" t="s">
        <v>661</v>
      </c>
      <c r="C478" s="224" t="s">
        <v>662</v>
      </c>
      <c r="D478" s="224">
        <v>39053000</v>
      </c>
      <c r="E478" s="224" t="s">
        <v>663</v>
      </c>
      <c r="F478" s="224" t="str">
        <f t="shared" si="11"/>
        <v>390530</v>
      </c>
      <c r="G478" s="224" t="s">
        <v>98</v>
      </c>
    </row>
    <row r="479" spans="1:7">
      <c r="A479" s="224" t="s">
        <v>664</v>
      </c>
      <c r="B479" s="224" t="s">
        <v>665</v>
      </c>
      <c r="C479" s="224" t="s">
        <v>666</v>
      </c>
      <c r="D479" s="224">
        <v>39061000</v>
      </c>
      <c r="E479" s="224" t="s">
        <v>667</v>
      </c>
      <c r="F479" s="224" t="str">
        <f t="shared" si="11"/>
        <v>390610</v>
      </c>
      <c r="G479" s="224" t="s">
        <v>97</v>
      </c>
    </row>
    <row r="480" spans="1:7">
      <c r="A480" s="224" t="s">
        <v>668</v>
      </c>
      <c r="B480" s="224" t="s">
        <v>669</v>
      </c>
      <c r="C480" s="224" t="s">
        <v>670</v>
      </c>
      <c r="D480" s="224">
        <v>39069010</v>
      </c>
      <c r="E480" s="224" t="s">
        <v>671</v>
      </c>
      <c r="F480" s="224" t="str">
        <f t="shared" si="11"/>
        <v>390690</v>
      </c>
      <c r="G480" s="224" t="s">
        <v>97</v>
      </c>
    </row>
    <row r="481" spans="1:7">
      <c r="A481" s="224" t="s">
        <v>672</v>
      </c>
      <c r="B481" s="224" t="s">
        <v>673</v>
      </c>
      <c r="C481" s="224" t="s">
        <v>674</v>
      </c>
      <c r="D481" s="224">
        <v>39071000</v>
      </c>
      <c r="E481" s="224" t="s">
        <v>673</v>
      </c>
      <c r="F481" s="224" t="str">
        <f t="shared" si="11"/>
        <v>390710</v>
      </c>
      <c r="G481" s="224" t="s">
        <v>98</v>
      </c>
    </row>
    <row r="482" spans="1:7">
      <c r="A482" s="224" t="s">
        <v>675</v>
      </c>
      <c r="B482" s="224" t="s">
        <v>676</v>
      </c>
      <c r="C482" s="224" t="s">
        <v>677</v>
      </c>
      <c r="D482" s="224">
        <v>39072100</v>
      </c>
      <c r="E482" s="224" t="s">
        <v>678</v>
      </c>
      <c r="F482" s="224" t="str">
        <f t="shared" si="11"/>
        <v>390721</v>
      </c>
      <c r="G482" s="224" t="s">
        <v>98</v>
      </c>
    </row>
    <row r="483" spans="1:7">
      <c r="A483" s="224" t="s">
        <v>679</v>
      </c>
      <c r="B483" s="224" t="s">
        <v>680</v>
      </c>
      <c r="C483" s="224" t="s">
        <v>681</v>
      </c>
      <c r="D483" s="224">
        <v>39072991</v>
      </c>
      <c r="E483" s="224" t="s">
        <v>682</v>
      </c>
      <c r="F483" s="224" t="str">
        <f t="shared" si="11"/>
        <v>390729</v>
      </c>
      <c r="G483" s="224" t="s">
        <v>98</v>
      </c>
    </row>
    <row r="484" spans="1:7">
      <c r="A484" s="224" t="s">
        <v>683</v>
      </c>
      <c r="B484" s="224" t="s">
        <v>684</v>
      </c>
      <c r="C484" s="224" t="s">
        <v>685</v>
      </c>
      <c r="D484" s="224">
        <v>39073000</v>
      </c>
      <c r="E484" s="224" t="s">
        <v>684</v>
      </c>
      <c r="F484" s="224" t="str">
        <f t="shared" si="11"/>
        <v>390730</v>
      </c>
      <c r="G484" s="224" t="s">
        <v>98</v>
      </c>
    </row>
    <row r="485" spans="1:7">
      <c r="A485" s="224" t="s">
        <v>686</v>
      </c>
      <c r="B485" s="224" t="s">
        <v>687</v>
      </c>
      <c r="C485" s="224" t="s">
        <v>688</v>
      </c>
      <c r="D485" s="224">
        <v>39074000</v>
      </c>
      <c r="E485" s="224" t="s">
        <v>687</v>
      </c>
      <c r="F485" s="224" t="str">
        <f t="shared" si="11"/>
        <v>390740</v>
      </c>
      <c r="G485" s="224" t="s">
        <v>96</v>
      </c>
    </row>
    <row r="486" spans="1:7">
      <c r="A486" s="224" t="s">
        <v>689</v>
      </c>
      <c r="B486" s="224" t="s">
        <v>690</v>
      </c>
      <c r="C486" s="224" t="s">
        <v>691</v>
      </c>
      <c r="D486" s="224">
        <v>39075000</v>
      </c>
      <c r="E486" s="224" t="s">
        <v>690</v>
      </c>
      <c r="F486" s="224" t="str">
        <f t="shared" si="11"/>
        <v>390750</v>
      </c>
      <c r="G486" s="224" t="s">
        <v>98</v>
      </c>
    </row>
    <row r="487" spans="1:7">
      <c r="A487" s="224" t="s">
        <v>692</v>
      </c>
      <c r="B487" s="224" t="s">
        <v>693</v>
      </c>
      <c r="C487" s="224" t="s">
        <v>694</v>
      </c>
      <c r="D487" s="224">
        <v>39076100</v>
      </c>
      <c r="E487" s="224" t="s">
        <v>695</v>
      </c>
      <c r="F487" s="224" t="str">
        <f t="shared" si="11"/>
        <v>390761</v>
      </c>
      <c r="G487" s="224" t="s">
        <v>91</v>
      </c>
    </row>
    <row r="488" spans="1:7">
      <c r="A488" s="224" t="s">
        <v>696</v>
      </c>
      <c r="B488" s="224" t="s">
        <v>697</v>
      </c>
      <c r="C488" s="224" t="s">
        <v>698</v>
      </c>
      <c r="D488" s="224">
        <v>39076900</v>
      </c>
      <c r="E488" s="224" t="s">
        <v>699</v>
      </c>
      <c r="F488" s="224" t="str">
        <f t="shared" si="11"/>
        <v>390769</v>
      </c>
      <c r="G488" s="224" t="s">
        <v>91</v>
      </c>
    </row>
    <row r="489" spans="1:7">
      <c r="A489" s="224" t="s">
        <v>700</v>
      </c>
      <c r="B489" s="224" t="s">
        <v>701</v>
      </c>
      <c r="C489" s="224" t="s">
        <v>702</v>
      </c>
      <c r="D489" s="224">
        <v>39077000</v>
      </c>
      <c r="E489" s="224" t="s">
        <v>703</v>
      </c>
      <c r="F489" s="224" t="str">
        <f t="shared" si="11"/>
        <v>390770</v>
      </c>
      <c r="G489" s="224" t="s">
        <v>98</v>
      </c>
    </row>
    <row r="490" spans="1:7">
      <c r="A490" s="224" t="s">
        <v>704</v>
      </c>
      <c r="B490" s="224" t="s">
        <v>705</v>
      </c>
      <c r="C490" s="224" t="s">
        <v>706</v>
      </c>
      <c r="D490" s="224">
        <v>39079110</v>
      </c>
      <c r="E490" s="224" t="s">
        <v>707</v>
      </c>
      <c r="F490" s="224" t="str">
        <f t="shared" si="11"/>
        <v>390791</v>
      </c>
      <c r="G490" s="224" t="s">
        <v>98</v>
      </c>
    </row>
    <row r="491" spans="1:7">
      <c r="A491" s="224" t="s">
        <v>708</v>
      </c>
      <c r="B491" s="224" t="s">
        <v>709</v>
      </c>
      <c r="C491" s="224" t="s">
        <v>710</v>
      </c>
      <c r="D491" s="224">
        <v>39079190</v>
      </c>
      <c r="E491" s="224" t="s">
        <v>711</v>
      </c>
      <c r="F491" s="224" t="str">
        <f t="shared" si="11"/>
        <v>390791</v>
      </c>
      <c r="G491" s="224" t="s">
        <v>98</v>
      </c>
    </row>
    <row r="492" spans="1:7">
      <c r="A492" s="224" t="s">
        <v>712</v>
      </c>
      <c r="B492" s="224" t="s">
        <v>713</v>
      </c>
      <c r="C492" s="224" t="s">
        <v>714</v>
      </c>
      <c r="D492" s="224">
        <v>39081000</v>
      </c>
      <c r="E492" s="224" t="s">
        <v>715</v>
      </c>
      <c r="F492" s="224" t="str">
        <f t="shared" si="11"/>
        <v>390810</v>
      </c>
      <c r="G492" s="224" t="s">
        <v>95</v>
      </c>
    </row>
    <row r="493" spans="1:7">
      <c r="A493" s="224" t="s">
        <v>716</v>
      </c>
      <c r="B493" s="224" t="s">
        <v>717</v>
      </c>
      <c r="C493" s="224" t="s">
        <v>718</v>
      </c>
      <c r="D493" s="224">
        <v>39089000</v>
      </c>
      <c r="E493" s="224" t="s">
        <v>719</v>
      </c>
      <c r="F493" s="224" t="str">
        <f t="shared" si="11"/>
        <v>390890</v>
      </c>
      <c r="G493" s="224" t="s">
        <v>95</v>
      </c>
    </row>
    <row r="494" spans="1:7">
      <c r="A494" s="224" t="s">
        <v>720</v>
      </c>
      <c r="B494" s="224" t="s">
        <v>721</v>
      </c>
      <c r="C494" s="224" t="s">
        <v>722</v>
      </c>
      <c r="D494" s="224">
        <v>39091000</v>
      </c>
      <c r="E494" s="224" t="s">
        <v>723</v>
      </c>
      <c r="F494" s="224" t="str">
        <f t="shared" si="11"/>
        <v>390910</v>
      </c>
      <c r="G494" s="224" t="s">
        <v>26</v>
      </c>
    </row>
    <row r="495" spans="1:7">
      <c r="A495" s="224" t="s">
        <v>724</v>
      </c>
      <c r="B495" s="224" t="s">
        <v>725</v>
      </c>
      <c r="C495" s="224" t="s">
        <v>726</v>
      </c>
      <c r="D495" s="224">
        <v>39092000</v>
      </c>
      <c r="E495" s="224" t="s">
        <v>725</v>
      </c>
      <c r="F495" s="224" t="str">
        <f t="shared" si="11"/>
        <v>390920</v>
      </c>
      <c r="G495" s="224" t="s">
        <v>26</v>
      </c>
    </row>
    <row r="496" spans="1:7">
      <c r="A496" s="224" t="s">
        <v>727</v>
      </c>
      <c r="B496" s="224" t="s">
        <v>728</v>
      </c>
      <c r="C496" s="224" t="s">
        <v>729</v>
      </c>
      <c r="D496" s="224">
        <v>39093100</v>
      </c>
      <c r="E496" s="224" t="s">
        <v>730</v>
      </c>
      <c r="F496" s="224" t="str">
        <f t="shared" si="11"/>
        <v>390931</v>
      </c>
      <c r="G496" s="224" t="s">
        <v>26</v>
      </c>
    </row>
    <row r="497" spans="1:7">
      <c r="A497" s="224" t="s">
        <v>731</v>
      </c>
      <c r="B497" s="224" t="s">
        <v>732</v>
      </c>
      <c r="C497" s="224" t="s">
        <v>733</v>
      </c>
      <c r="D497" s="224">
        <v>39094000</v>
      </c>
      <c r="E497" s="224" t="s">
        <v>732</v>
      </c>
      <c r="F497" s="224" t="str">
        <f t="shared" si="11"/>
        <v>390940</v>
      </c>
      <c r="G497" s="224" t="s">
        <v>98</v>
      </c>
    </row>
    <row r="498" spans="1:7">
      <c r="A498" s="224" t="s">
        <v>734</v>
      </c>
      <c r="B498" s="224" t="s">
        <v>735</v>
      </c>
      <c r="C498" s="224" t="s">
        <v>736</v>
      </c>
      <c r="D498" s="224">
        <v>39095010</v>
      </c>
      <c r="E498" s="224" t="s">
        <v>737</v>
      </c>
      <c r="F498" s="224" t="str">
        <f t="shared" si="11"/>
        <v>390950</v>
      </c>
      <c r="G498" s="224" t="s">
        <v>93</v>
      </c>
    </row>
    <row r="499" spans="1:7">
      <c r="A499" s="224" t="s">
        <v>738</v>
      </c>
      <c r="B499" s="224" t="s">
        <v>739</v>
      </c>
      <c r="C499" s="224" t="s">
        <v>740</v>
      </c>
      <c r="D499" s="224">
        <v>39100000</v>
      </c>
      <c r="E499" s="224" t="s">
        <v>739</v>
      </c>
      <c r="F499" s="224" t="str">
        <f t="shared" si="11"/>
        <v>391000</v>
      </c>
      <c r="G499" s="224" t="s">
        <v>26</v>
      </c>
    </row>
    <row r="500" spans="1:7">
      <c r="A500" s="224" t="s">
        <v>741</v>
      </c>
      <c r="B500" s="224" t="s">
        <v>742</v>
      </c>
      <c r="C500" s="224" t="s">
        <v>743</v>
      </c>
      <c r="D500" s="224">
        <v>39111000</v>
      </c>
      <c r="E500" s="224" t="s">
        <v>744</v>
      </c>
      <c r="F500" s="224" t="str">
        <f t="shared" si="11"/>
        <v>391110</v>
      </c>
      <c r="G500" s="224" t="s">
        <v>98</v>
      </c>
    </row>
    <row r="501" spans="1:7">
      <c r="A501" s="224" t="s">
        <v>745</v>
      </c>
      <c r="B501" s="224" t="s">
        <v>746</v>
      </c>
      <c r="C501" s="224" t="s">
        <v>747</v>
      </c>
      <c r="D501" s="224">
        <v>39121100</v>
      </c>
      <c r="E501" s="224" t="s">
        <v>748</v>
      </c>
      <c r="F501" s="224" t="str">
        <f t="shared" si="11"/>
        <v>391211</v>
      </c>
      <c r="G501" s="224" t="s">
        <v>26</v>
      </c>
    </row>
    <row r="502" spans="1:7">
      <c r="A502" s="224" t="s">
        <v>749</v>
      </c>
      <c r="B502" s="224" t="s">
        <v>750</v>
      </c>
      <c r="C502" s="224"/>
      <c r="D502" s="224">
        <v>39123100</v>
      </c>
      <c r="E502" s="224" t="s">
        <v>751</v>
      </c>
      <c r="F502" s="224" t="str">
        <f t="shared" si="11"/>
        <v>391231</v>
      </c>
      <c r="G502" s="224" t="s">
        <v>26</v>
      </c>
    </row>
    <row r="503" spans="1:7">
      <c r="A503" s="224" t="s">
        <v>752</v>
      </c>
      <c r="B503" s="224" t="s">
        <v>753</v>
      </c>
      <c r="C503" s="224"/>
      <c r="D503" s="224">
        <v>39131000</v>
      </c>
      <c r="E503" s="224" t="s">
        <v>754</v>
      </c>
      <c r="F503" s="224" t="str">
        <f t="shared" si="11"/>
        <v>391310</v>
      </c>
      <c r="G503" s="224" t="s">
        <v>26</v>
      </c>
    </row>
    <row r="504" spans="1:7">
      <c r="A504" s="224" t="s">
        <v>755</v>
      </c>
      <c r="B504" s="224" t="s">
        <v>756</v>
      </c>
      <c r="C504" s="224" t="s">
        <v>757</v>
      </c>
      <c r="D504" s="224">
        <v>39139000</v>
      </c>
      <c r="E504" s="224" t="s">
        <v>758</v>
      </c>
      <c r="F504" s="224" t="str">
        <f t="shared" si="11"/>
        <v>391390</v>
      </c>
      <c r="G504" s="224" t="s">
        <v>26</v>
      </c>
    </row>
    <row r="505" spans="1:7">
      <c r="A505" s="224" t="s">
        <v>759</v>
      </c>
      <c r="B505" s="224" t="s">
        <v>760</v>
      </c>
      <c r="C505" s="224" t="s">
        <v>761</v>
      </c>
      <c r="D505" s="224">
        <v>39140000</v>
      </c>
      <c r="E505" s="224" t="s">
        <v>762</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dataBar" priority="86">
      <dataBar>
        <cfvo type="min"/>
        <cfvo type="num" val="4"/>
        <color rgb="FFFFC000"/>
      </dataBar>
      <extLst>
        <ext xmlns:x14="http://schemas.microsoft.com/office/spreadsheetml/2009/9/main" uri="{B025F937-C7B1-47D3-B67F-A62EFF666E3E}">
          <x14:id>{C5A53CB8-7286-4FE7-AE8E-AA89EC0DA347}</x14:id>
        </ext>
      </extLst>
    </cfRule>
    <cfRule type="cellIs" dxfId="131" priority="76" stopIfTrue="1" operator="notBetween">
      <formula>1</formula>
      <formula>4</formula>
    </cfRule>
  </conditionalFormatting>
  <conditionalFormatting sqref="H361:M367 H399:M403 I392:M392">
    <cfRule type="cellIs" dxfId="130"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dataBar" priority="7235">
      <dataBar>
        <cfvo type="min"/>
        <cfvo type="num" val="4"/>
        <color rgb="FFFFC000"/>
      </dataBar>
      <extLst>
        <ext xmlns:x14="http://schemas.microsoft.com/office/spreadsheetml/2009/9/main" uri="{B025F937-C7B1-47D3-B67F-A62EFF666E3E}">
          <x14:id>{DA710FBA-F523-4A4B-B5D7-85AAB235F786}</x14:id>
        </ext>
      </extLst>
    </cfRule>
    <cfRule type="cellIs" dxfId="129" priority="7234" stopIfTrue="1" operator="notBetween">
      <formula>1</formula>
      <formula>4</formula>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28" priority="8" stopIfTrue="1" operator="notBetween">
      <formula>1</formula>
      <formula>4</formula>
    </cfRule>
  </conditionalFormatting>
  <conditionalFormatting sqref="H396:M407">
    <cfRule type="containsBlanks" dxfId="127"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26"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25" priority="12" stopIfTrue="1" operator="notBetween">
      <formula>1</formula>
      <formula>4</formula>
    </cfRule>
  </conditionalFormatting>
  <conditionalFormatting sqref="H396:O397 H361:O367 N398:O407">
    <cfRule type="containsBlanks" dxfId="124"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23"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22"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21" priority="75" operator="containsText" text="Actual TC">
      <formula>NOT(ISERROR(SEARCH("Actual TC",P361)))</formula>
    </cfRule>
  </conditionalFormatting>
  <conditionalFormatting sqref="P398:P401">
    <cfRule type="containsText" dxfId="120" priority="35" operator="containsText" text="Actual TC">
      <formula>NOT(ISERROR(SEARCH("Actual TC",P398)))</formula>
    </cfRule>
  </conditionalFormatting>
  <conditionalFormatting sqref="P404:P407">
    <cfRule type="containsText" dxfId="119"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18" priority="88">
      <formula>LEN(TRIM(Z6))=0</formula>
    </cfRule>
  </conditionalFormatting>
  <conditionalFormatting sqref="AE5">
    <cfRule type="containsBlanks" dxfId="117"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16" priority="135">
      <formula>LEN(TRIM(AL35))=0</formula>
    </cfRule>
  </conditionalFormatting>
  <conditionalFormatting sqref="AL65:AQ82">
    <cfRule type="containsBlanks" dxfId="115" priority="128">
      <formula>LEN(TRIM(AL65))=0</formula>
    </cfRule>
  </conditionalFormatting>
  <conditionalFormatting sqref="AL86:AQ103">
    <cfRule type="containsBlanks" dxfId="114" priority="125">
      <formula>LEN(TRIM(AL86))=0</formula>
    </cfRule>
  </conditionalFormatting>
  <conditionalFormatting sqref="AQ5">
    <cfRule type="containsBlanks" dxfId="113"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dataBar" priority="134">
      <dataBar>
        <cfvo type="min"/>
        <cfvo type="max"/>
        <color rgb="FF3FCDFF"/>
      </dataBar>
      <extLst>
        <ext xmlns:x14="http://schemas.microsoft.com/office/spreadsheetml/2009/9/main" uri="{B025F937-C7B1-47D3-B67F-A62EFF666E3E}">
          <x14:id>{EDC543FA-E2F2-4E9E-8D35-ADB9FAB0E485}</x14:id>
        </ext>
      </extLst>
    </cfRule>
    <cfRule type="containsBlanks" dxfId="112" priority="133">
      <formula>LEN(TRIM(AQ34))=0</formula>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dataBar" priority="132">
      <dataBar>
        <cfvo type="min"/>
        <cfvo type="max"/>
        <color rgb="FF3FCDFF"/>
      </dataBar>
      <extLst>
        <ext xmlns:x14="http://schemas.microsoft.com/office/spreadsheetml/2009/9/main" uri="{B025F937-C7B1-47D3-B67F-A62EFF666E3E}">
          <x14:id>{66277A20-B55F-4D0D-B4C2-D9E0600A8F6A}</x14:id>
        </ext>
      </extLst>
    </cfRule>
    <cfRule type="containsBlanks" dxfId="111" priority="131">
      <formula>LEN(TRIM(AQ64))=0</formula>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dataBar" priority="124">
      <dataBar>
        <cfvo type="min"/>
        <cfvo type="max"/>
        <color rgb="FF3FCDFF"/>
      </dataBar>
      <extLst>
        <ext xmlns:x14="http://schemas.microsoft.com/office/spreadsheetml/2009/9/main" uri="{B025F937-C7B1-47D3-B67F-A62EFF666E3E}">
          <x14:id>{879A4CD8-B0E5-4FCA-BA5C-14C1CA131CE0}</x14:id>
        </ext>
      </extLst>
    </cfRule>
    <cfRule type="containsBlanks" dxfId="110" priority="123">
      <formula>LEN(TRIM(AQ85))=0</formula>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66" zoomScale="85" zoomScaleNormal="85" workbookViewId="0">
      <selection activeCell="B88" sqref="B88"/>
    </sheetView>
  </sheetViews>
  <sheetFormatPr defaultRowHeight="14.4"/>
  <cols>
    <col min="1" max="1" width="27.109375" customWidth="1"/>
    <col min="2" max="2" width="28.6640625" customWidth="1"/>
    <col min="5" max="5" width="16.88671875" customWidth="1"/>
    <col min="6" max="6" width="17.33203125" customWidth="1"/>
    <col min="7" max="7" width="6.88671875" customWidth="1"/>
    <col min="8" max="8" width="7.88671875" customWidth="1"/>
    <col min="9" max="12" width="6.88671875" customWidth="1"/>
    <col min="13" max="13" width="10.5546875" bestFit="1" customWidth="1"/>
    <col min="14" max="14" width="6.88671875" customWidth="1"/>
    <col min="16" max="16" width="48.109375" bestFit="1" customWidth="1"/>
    <col min="20" max="20" width="20.33203125" customWidth="1"/>
    <col min="21" max="21" width="16.33203125" bestFit="1" customWidth="1"/>
    <col min="22" max="22" width="10.109375" bestFit="1" customWidth="1"/>
    <col min="23" max="23" width="8.33203125" bestFit="1" customWidth="1"/>
    <col min="24" max="24" width="14.6640625" bestFit="1" customWidth="1"/>
    <col min="25" max="25" width="12.6640625" bestFit="1" customWidth="1"/>
  </cols>
  <sheetData>
    <row r="1" spans="1:26" s="131" customFormat="1" ht="30" customHeight="1">
      <c r="R1" s="383"/>
    </row>
    <row r="2" spans="1:26" s="6" customFormat="1">
      <c r="A2" s="1123" t="s">
        <v>763</v>
      </c>
      <c r="B2" s="1123"/>
      <c r="C2" s="1123"/>
      <c r="D2" s="1123"/>
      <c r="E2" s="1123"/>
      <c r="F2" s="1123"/>
      <c r="G2" s="1123"/>
      <c r="H2" s="1123"/>
      <c r="I2" s="1123"/>
      <c r="J2" s="1123"/>
      <c r="K2" s="1123"/>
      <c r="L2" s="1123"/>
      <c r="M2" s="1123"/>
      <c r="N2" s="1123"/>
      <c r="O2" s="1123"/>
      <c r="P2" s="1123"/>
      <c r="Q2" s="1123"/>
    </row>
    <row r="3" spans="1:26" s="6" customFormat="1" ht="18.75" customHeight="1">
      <c r="A3" s="1127"/>
      <c r="B3" s="1127"/>
      <c r="C3" s="1127"/>
      <c r="D3" s="1127"/>
      <c r="E3" s="1127"/>
      <c r="F3" s="1127"/>
      <c r="G3" s="1127"/>
      <c r="H3" s="1127"/>
      <c r="I3" s="1127"/>
      <c r="J3" s="1127"/>
      <c r="K3" s="1127"/>
      <c r="L3" s="1127"/>
      <c r="M3" s="1127"/>
      <c r="N3" s="1127"/>
      <c r="O3" s="1127"/>
      <c r="P3" s="1127"/>
      <c r="Q3" s="1127"/>
      <c r="R3" s="383"/>
    </row>
    <row r="4" spans="1:26" s="6" customFormat="1" ht="15" thickBot="1">
      <c r="Z4"/>
    </row>
    <row r="5" spans="1:26" s="6" customFormat="1" ht="15" thickBot="1">
      <c r="A5" s="140" t="s">
        <v>131</v>
      </c>
      <c r="B5" s="140" t="s">
        <v>100</v>
      </c>
      <c r="C5" s="140" t="s">
        <v>101</v>
      </c>
      <c r="D5" s="140" t="s">
        <v>102</v>
      </c>
      <c r="E5" s="140" t="s">
        <v>771</v>
      </c>
      <c r="F5" s="225" t="s">
        <v>104</v>
      </c>
      <c r="G5" s="111" t="s">
        <v>134</v>
      </c>
      <c r="H5" s="112" t="s">
        <v>65</v>
      </c>
      <c r="I5" s="112" t="s">
        <v>67</v>
      </c>
      <c r="J5" s="112" t="s">
        <v>73</v>
      </c>
      <c r="K5" s="113" t="s">
        <v>79</v>
      </c>
      <c r="L5" s="114" t="s">
        <v>106</v>
      </c>
      <c r="M5" s="115" t="s">
        <v>123</v>
      </c>
      <c r="Z5"/>
    </row>
    <row r="6" spans="1:26" s="6" customFormat="1" ht="15" thickBot="1">
      <c r="A6" s="117" t="s">
        <v>180</v>
      </c>
      <c r="B6" s="143" t="s">
        <v>395</v>
      </c>
      <c r="C6" s="117">
        <v>1990</v>
      </c>
      <c r="D6" s="9" t="s">
        <v>92</v>
      </c>
      <c r="E6" s="338">
        <v>14.048770000000001</v>
      </c>
      <c r="F6" s="186" t="s">
        <v>774</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 thickBot="1">
      <c r="A7" s="117" t="s">
        <v>180</v>
      </c>
      <c r="B7" s="143" t="s">
        <v>395</v>
      </c>
      <c r="C7" s="117">
        <v>1995</v>
      </c>
      <c r="D7" s="9" t="s">
        <v>92</v>
      </c>
      <c r="E7" s="338">
        <v>15.103305000000001</v>
      </c>
      <c r="F7" s="186" t="s">
        <v>774</v>
      </c>
      <c r="G7" s="250">
        <v>1</v>
      </c>
      <c r="H7" s="13">
        <v>1</v>
      </c>
      <c r="I7" s="13">
        <v>1</v>
      </c>
      <c r="J7" s="13">
        <v>1</v>
      </c>
      <c r="K7" s="317">
        <v>1</v>
      </c>
      <c r="L7" s="350">
        <f t="shared" si="0"/>
        <v>9.9656111784768353E-2</v>
      </c>
      <c r="M7" s="33"/>
      <c r="Z7"/>
    </row>
    <row r="8" spans="1:26" s="6" customFormat="1" ht="15" thickBot="1">
      <c r="A8" s="117" t="s">
        <v>180</v>
      </c>
      <c r="B8" s="143" t="s">
        <v>395</v>
      </c>
      <c r="C8" s="117">
        <v>2000</v>
      </c>
      <c r="D8" s="9" t="s">
        <v>92</v>
      </c>
      <c r="E8" s="338">
        <v>16.7798639999999</v>
      </c>
      <c r="F8" s="186" t="s">
        <v>774</v>
      </c>
      <c r="G8" s="250">
        <v>1</v>
      </c>
      <c r="H8" s="13">
        <v>1</v>
      </c>
      <c r="I8" s="13">
        <v>1</v>
      </c>
      <c r="J8" s="13">
        <v>1</v>
      </c>
      <c r="K8" s="317">
        <v>1</v>
      </c>
      <c r="L8" s="350">
        <f t="shared" si="0"/>
        <v>9.9656111784768353E-2</v>
      </c>
      <c r="M8" s="33"/>
      <c r="Z8"/>
    </row>
    <row r="9" spans="1:26" s="6" customFormat="1" ht="15" thickBot="1">
      <c r="A9" s="117" t="s">
        <v>180</v>
      </c>
      <c r="B9" s="143" t="s">
        <v>395</v>
      </c>
      <c r="C9" s="117">
        <v>2005</v>
      </c>
      <c r="D9" s="9" t="s">
        <v>92</v>
      </c>
      <c r="E9" s="338">
        <v>17.777562999999997</v>
      </c>
      <c r="F9" s="186" t="s">
        <v>774</v>
      </c>
      <c r="G9" s="250">
        <v>1</v>
      </c>
      <c r="H9" s="13">
        <v>1</v>
      </c>
      <c r="I9" s="13">
        <v>1</v>
      </c>
      <c r="J9" s="13">
        <v>1</v>
      </c>
      <c r="K9" s="317">
        <v>1</v>
      </c>
      <c r="L9" s="350">
        <f t="shared" si="0"/>
        <v>9.9656111784768353E-2</v>
      </c>
      <c r="M9" s="33"/>
      <c r="Z9"/>
    </row>
    <row r="10" spans="1:26" s="131" customFormat="1" ht="30" customHeight="1" thickBot="1">
      <c r="A10" s="117" t="s">
        <v>180</v>
      </c>
      <c r="B10" s="143" t="s">
        <v>395</v>
      </c>
      <c r="C10" s="117">
        <v>2010</v>
      </c>
      <c r="D10" s="9" t="s">
        <v>92</v>
      </c>
      <c r="E10" s="338">
        <v>18.043420999999999</v>
      </c>
      <c r="F10" s="186" t="s">
        <v>774</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395</v>
      </c>
      <c r="C11" s="117">
        <v>2015</v>
      </c>
      <c r="D11" s="9" t="s">
        <v>92</v>
      </c>
      <c r="E11" s="338">
        <v>18.230867999999997</v>
      </c>
      <c r="F11" s="186" t="s">
        <v>774</v>
      </c>
      <c r="G11" s="250">
        <v>1</v>
      </c>
      <c r="H11" s="13">
        <v>1</v>
      </c>
      <c r="I11" s="13">
        <v>1</v>
      </c>
      <c r="J11" s="13">
        <v>1</v>
      </c>
      <c r="K11" s="317">
        <v>1</v>
      </c>
      <c r="L11" s="350">
        <f t="shared" si="0"/>
        <v>9.9656111784768353E-2</v>
      </c>
      <c r="M11" s="33"/>
      <c r="Z11"/>
    </row>
    <row r="12" spans="1:26" s="6" customFormat="1" ht="15" thickBot="1">
      <c r="A12" s="117" t="s">
        <v>180</v>
      </c>
      <c r="B12" s="143" t="s">
        <v>395</v>
      </c>
      <c r="C12" s="117">
        <v>2019</v>
      </c>
      <c r="D12" s="9" t="s">
        <v>92</v>
      </c>
      <c r="E12" s="338">
        <v>19.338638</v>
      </c>
      <c r="F12" s="186" t="s">
        <v>774</v>
      </c>
      <c r="G12" s="250">
        <v>1</v>
      </c>
      <c r="H12" s="13">
        <v>1</v>
      </c>
      <c r="I12" s="13">
        <v>1</v>
      </c>
      <c r="J12" s="13">
        <v>1</v>
      </c>
      <c r="K12" s="317">
        <v>1</v>
      </c>
      <c r="L12" s="350">
        <f t="shared" si="0"/>
        <v>9.9656111784768353E-2</v>
      </c>
      <c r="M12" s="33"/>
      <c r="Z12"/>
    </row>
    <row r="13" spans="1:26" s="6" customFormat="1" ht="15" thickBot="1">
      <c r="A13" s="117" t="s">
        <v>180</v>
      </c>
      <c r="B13" s="143" t="s">
        <v>395</v>
      </c>
      <c r="C13" s="117">
        <v>2020</v>
      </c>
      <c r="D13" s="9" t="s">
        <v>92</v>
      </c>
      <c r="E13" s="338">
        <v>16.756188426510999</v>
      </c>
      <c r="F13" s="186" t="s">
        <v>774</v>
      </c>
      <c r="G13" s="250">
        <v>1</v>
      </c>
      <c r="H13" s="13">
        <v>1</v>
      </c>
      <c r="I13" s="13">
        <v>1</v>
      </c>
      <c r="J13" s="13">
        <v>1</v>
      </c>
      <c r="K13" s="317">
        <v>1</v>
      </c>
      <c r="L13" s="350">
        <f t="shared" si="0"/>
        <v>9.9656111784768353E-2</v>
      </c>
      <c r="M13" s="33"/>
      <c r="Z13"/>
    </row>
    <row r="14" spans="1:26" s="6" customFormat="1" ht="1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 thickBot="1">
      <c r="A15" s="117" t="s">
        <v>180</v>
      </c>
      <c r="B15" s="143" t="s">
        <v>395</v>
      </c>
      <c r="C15" s="117">
        <v>1990</v>
      </c>
      <c r="D15" s="9" t="s">
        <v>92</v>
      </c>
      <c r="E15" s="338">
        <v>9.7959110544217687</v>
      </c>
      <c r="F15" s="186" t="s">
        <v>779</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395</v>
      </c>
      <c r="C16" s="117">
        <v>1995</v>
      </c>
      <c r="D16" s="9" t="s">
        <v>92</v>
      </c>
      <c r="E16" s="338">
        <v>10.531216071428499</v>
      </c>
      <c r="F16" s="186" t="s">
        <v>779</v>
      </c>
      <c r="G16" s="250">
        <v>1</v>
      </c>
      <c r="H16" s="13">
        <v>1</v>
      </c>
      <c r="I16" s="13">
        <v>1</v>
      </c>
      <c r="J16" s="13">
        <v>1</v>
      </c>
      <c r="K16" s="317">
        <v>1</v>
      </c>
      <c r="L16" s="350">
        <f t="shared" si="1"/>
        <v>9.9656111784768353E-2</v>
      </c>
      <c r="M16" s="33"/>
      <c r="Z16"/>
    </row>
    <row r="17" spans="1:30" s="6" customFormat="1" ht="15" thickBot="1">
      <c r="A17" s="117" t="s">
        <v>180</v>
      </c>
      <c r="B17" s="143" t="s">
        <v>395</v>
      </c>
      <c r="C17" s="117">
        <v>2000</v>
      </c>
      <c r="D17" s="9" t="s">
        <v>92</v>
      </c>
      <c r="E17" s="338">
        <v>11.700245306122401</v>
      </c>
      <c r="F17" s="186" t="s">
        <v>779</v>
      </c>
      <c r="G17" s="250">
        <v>1</v>
      </c>
      <c r="H17" s="13">
        <v>1</v>
      </c>
      <c r="I17" s="13">
        <v>1</v>
      </c>
      <c r="J17" s="13">
        <v>1</v>
      </c>
      <c r="K17" s="317">
        <v>1</v>
      </c>
      <c r="L17" s="350">
        <f t="shared" si="1"/>
        <v>9.9656111784768353E-2</v>
      </c>
      <c r="M17" s="33"/>
      <c r="Z17"/>
    </row>
    <row r="18" spans="1:30" s="6" customFormat="1" ht="15" thickBot="1">
      <c r="A18" s="117" t="s">
        <v>180</v>
      </c>
      <c r="B18" s="143" t="s">
        <v>395</v>
      </c>
      <c r="C18" s="117">
        <v>2005</v>
      </c>
      <c r="D18" s="9" t="s">
        <v>92</v>
      </c>
      <c r="E18" s="338">
        <v>12.3959197789115</v>
      </c>
      <c r="F18" s="186" t="s">
        <v>779</v>
      </c>
      <c r="G18" s="250">
        <v>1</v>
      </c>
      <c r="H18" s="13">
        <v>1</v>
      </c>
      <c r="I18" s="13">
        <v>1</v>
      </c>
      <c r="J18" s="13">
        <v>1</v>
      </c>
      <c r="K18" s="317">
        <v>1</v>
      </c>
      <c r="L18" s="350">
        <f t="shared" si="1"/>
        <v>9.9656111784768353E-2</v>
      </c>
      <c r="M18" s="33"/>
      <c r="Z18"/>
    </row>
    <row r="19" spans="1:30" s="6" customFormat="1" ht="15" thickBot="1">
      <c r="A19" s="117" t="s">
        <v>180</v>
      </c>
      <c r="B19" s="143" t="s">
        <v>395</v>
      </c>
      <c r="C19" s="117">
        <v>2010</v>
      </c>
      <c r="D19" s="9" t="s">
        <v>92</v>
      </c>
      <c r="E19" s="338">
        <v>12.5812969557823</v>
      </c>
      <c r="F19" s="186" t="s">
        <v>779</v>
      </c>
      <c r="G19" s="250">
        <v>1</v>
      </c>
      <c r="H19" s="13">
        <v>1</v>
      </c>
      <c r="I19" s="13">
        <v>1</v>
      </c>
      <c r="J19" s="13">
        <v>1</v>
      </c>
      <c r="K19" s="317">
        <v>1</v>
      </c>
      <c r="L19" s="350">
        <f t="shared" si="1"/>
        <v>9.9656111784768353E-2</v>
      </c>
      <c r="M19" s="33"/>
      <c r="R19" s="383"/>
      <c r="Z19"/>
    </row>
    <row r="20" spans="1:30" s="6" customFormat="1" ht="15" thickBot="1">
      <c r="A20" s="117" t="s">
        <v>180</v>
      </c>
      <c r="B20" s="143" t="s">
        <v>395</v>
      </c>
      <c r="C20" s="117">
        <v>2015</v>
      </c>
      <c r="D20" s="9" t="s">
        <v>92</v>
      </c>
      <c r="E20" s="338">
        <v>12.711999795918301</v>
      </c>
      <c r="F20" s="186" t="s">
        <v>779</v>
      </c>
      <c r="G20" s="250">
        <v>1</v>
      </c>
      <c r="H20" s="13">
        <v>1</v>
      </c>
      <c r="I20" s="13">
        <v>1</v>
      </c>
      <c r="J20" s="13">
        <v>1</v>
      </c>
      <c r="K20" s="317">
        <v>1</v>
      </c>
      <c r="L20" s="350">
        <f t="shared" si="1"/>
        <v>9.9656111784768353E-2</v>
      </c>
      <c r="M20" s="33"/>
      <c r="Z20"/>
    </row>
    <row r="21" spans="1:30" s="6" customFormat="1" ht="15" customHeight="1" thickBot="1">
      <c r="A21" s="117" t="s">
        <v>180</v>
      </c>
      <c r="B21" s="143" t="s">
        <v>395</v>
      </c>
      <c r="C21" s="117">
        <v>2019</v>
      </c>
      <c r="D21" s="9" t="s">
        <v>92</v>
      </c>
      <c r="E21" s="338">
        <v>13.4844244557823</v>
      </c>
      <c r="F21" s="186" t="s">
        <v>779</v>
      </c>
      <c r="G21" s="250">
        <v>1</v>
      </c>
      <c r="H21" s="13">
        <v>1</v>
      </c>
      <c r="I21" s="13">
        <v>1</v>
      </c>
      <c r="J21" s="13">
        <v>1</v>
      </c>
      <c r="K21" s="317">
        <v>1</v>
      </c>
      <c r="L21" s="350">
        <f t="shared" si="1"/>
        <v>9.9656111784768353E-2</v>
      </c>
      <c r="M21" s="33"/>
      <c r="Z21"/>
    </row>
    <row r="22" spans="1:30" s="6" customFormat="1" ht="15" customHeight="1" thickBot="1">
      <c r="A22" s="117" t="s">
        <v>180</v>
      </c>
      <c r="B22" s="143" t="s">
        <v>395</v>
      </c>
      <c r="C22" s="117">
        <v>2020</v>
      </c>
      <c r="D22" s="9" t="s">
        <v>92</v>
      </c>
      <c r="E22" s="338">
        <v>11.683736828009399</v>
      </c>
      <c r="F22" s="186" t="s">
        <v>779</v>
      </c>
      <c r="G22" s="250">
        <v>1</v>
      </c>
      <c r="H22" s="13">
        <v>1</v>
      </c>
      <c r="I22" s="13">
        <v>1</v>
      </c>
      <c r="J22" s="13">
        <v>1</v>
      </c>
      <c r="K22" s="317">
        <v>1</v>
      </c>
      <c r="L22" s="350">
        <f t="shared" si="1"/>
        <v>9.9656111784768353E-2</v>
      </c>
      <c r="M22" s="33"/>
      <c r="Z22"/>
    </row>
    <row r="23" spans="1:30" s="6" customFormat="1" ht="1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395</v>
      </c>
      <c r="C24" s="117">
        <v>1990</v>
      </c>
      <c r="D24" s="9" t="s">
        <v>92</v>
      </c>
      <c r="E24" s="338">
        <v>18.038811819727801</v>
      </c>
      <c r="F24" s="186" t="s">
        <v>780</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 thickBot="1">
      <c r="A25" s="117" t="s">
        <v>180</v>
      </c>
      <c r="B25" s="143" t="s">
        <v>395</v>
      </c>
      <c r="C25" s="117">
        <v>1995</v>
      </c>
      <c r="D25" s="9" t="s">
        <v>92</v>
      </c>
      <c r="E25" s="338">
        <v>19.392849107142801</v>
      </c>
      <c r="F25" s="186" t="s">
        <v>780</v>
      </c>
      <c r="G25" s="250">
        <v>1</v>
      </c>
      <c r="H25" s="13">
        <v>1</v>
      </c>
      <c r="I25" s="13">
        <v>1</v>
      </c>
      <c r="J25" s="13">
        <v>1</v>
      </c>
      <c r="K25" s="317">
        <v>1</v>
      </c>
      <c r="L25" s="350">
        <f t="shared" si="2"/>
        <v>9.9656111784768353E-2</v>
      </c>
      <c r="M25" s="33"/>
      <c r="Z25"/>
    </row>
    <row r="26" spans="1:30" s="131" customFormat="1" ht="30" customHeight="1" thickBot="1">
      <c r="A26" s="117" t="s">
        <v>180</v>
      </c>
      <c r="B26" s="143" t="s">
        <v>395</v>
      </c>
      <c r="C26" s="117">
        <v>2000</v>
      </c>
      <c r="D26" s="9" t="s">
        <v>92</v>
      </c>
      <c r="E26" s="338">
        <v>21.545573673469299</v>
      </c>
      <c r="F26" s="186" t="s">
        <v>780</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395</v>
      </c>
      <c r="C27" s="117">
        <v>2005</v>
      </c>
      <c r="D27" s="9" t="s">
        <v>92</v>
      </c>
      <c r="E27" s="338">
        <v>22.826632763605399</v>
      </c>
      <c r="F27" s="186" t="s">
        <v>780</v>
      </c>
      <c r="G27" s="250">
        <v>1</v>
      </c>
      <c r="H27" s="13">
        <v>1</v>
      </c>
      <c r="I27" s="13">
        <v>1</v>
      </c>
      <c r="J27" s="13">
        <v>1</v>
      </c>
      <c r="K27" s="317">
        <v>1</v>
      </c>
      <c r="L27" s="350">
        <f t="shared" si="2"/>
        <v>9.9656111784768353E-2</v>
      </c>
      <c r="M27" s="33"/>
      <c r="Z27"/>
      <c r="AA27" s="368"/>
      <c r="AB27"/>
    </row>
    <row r="28" spans="1:30" s="6" customFormat="1" ht="15" thickBot="1">
      <c r="A28" s="117" t="s">
        <v>180</v>
      </c>
      <c r="B28" s="143" t="s">
        <v>395</v>
      </c>
      <c r="C28" s="117">
        <v>2010</v>
      </c>
      <c r="D28" s="9" t="s">
        <v>92</v>
      </c>
      <c r="E28" s="338">
        <v>23.167998052721</v>
      </c>
      <c r="F28" s="186" t="s">
        <v>780</v>
      </c>
      <c r="G28" s="250">
        <v>1</v>
      </c>
      <c r="H28" s="13">
        <v>1</v>
      </c>
      <c r="I28" s="13">
        <v>1</v>
      </c>
      <c r="J28" s="13">
        <v>1</v>
      </c>
      <c r="K28" s="317">
        <v>1</v>
      </c>
      <c r="L28" s="350">
        <f t="shared" si="2"/>
        <v>9.9656111784768353E-2</v>
      </c>
      <c r="M28" s="33"/>
      <c r="Z28"/>
      <c r="AC28" s="368"/>
      <c r="AD28"/>
    </row>
    <row r="29" spans="1:30" s="6" customFormat="1" ht="15" thickBot="1">
      <c r="A29" s="117" t="s">
        <v>180</v>
      </c>
      <c r="B29" s="143" t="s">
        <v>395</v>
      </c>
      <c r="C29" s="117">
        <v>2015</v>
      </c>
      <c r="D29" s="9" t="s">
        <v>92</v>
      </c>
      <c r="E29" s="338">
        <v>23.408682551020402</v>
      </c>
      <c r="F29" s="186" t="s">
        <v>780</v>
      </c>
      <c r="G29" s="250">
        <v>1</v>
      </c>
      <c r="H29" s="13">
        <v>1</v>
      </c>
      <c r="I29" s="13">
        <v>1</v>
      </c>
      <c r="J29" s="13">
        <v>1</v>
      </c>
      <c r="K29" s="317">
        <v>1</v>
      </c>
      <c r="L29" s="350">
        <f t="shared" si="2"/>
        <v>9.9656111784768353E-2</v>
      </c>
      <c r="M29" s="33"/>
      <c r="Z29"/>
      <c r="AC29" s="368"/>
      <c r="AD29"/>
    </row>
    <row r="30" spans="1:30" s="6" customFormat="1" ht="15" thickBot="1">
      <c r="A30" s="117" t="s">
        <v>180</v>
      </c>
      <c r="B30" s="143" t="s">
        <v>395</v>
      </c>
      <c r="C30" s="117">
        <v>2019</v>
      </c>
      <c r="D30" s="9" t="s">
        <v>92</v>
      </c>
      <c r="E30" s="338">
        <v>24.831074302720999</v>
      </c>
      <c r="F30" s="186" t="s">
        <v>780</v>
      </c>
      <c r="G30" s="250">
        <v>1</v>
      </c>
      <c r="H30" s="13">
        <v>1</v>
      </c>
      <c r="I30" s="13">
        <v>1</v>
      </c>
      <c r="J30" s="13">
        <v>1</v>
      </c>
      <c r="K30" s="317">
        <v>1</v>
      </c>
      <c r="L30" s="350">
        <f t="shared" si="2"/>
        <v>9.9656111784768353E-2</v>
      </c>
      <c r="M30" s="33"/>
      <c r="Z30"/>
      <c r="AC30" s="368"/>
      <c r="AD30"/>
    </row>
    <row r="31" spans="1:30" s="6" customFormat="1">
      <c r="A31" s="117" t="s">
        <v>180</v>
      </c>
      <c r="B31" s="143" t="s">
        <v>395</v>
      </c>
      <c r="C31" s="117">
        <v>2020</v>
      </c>
      <c r="D31" s="9" t="s">
        <v>92</v>
      </c>
      <c r="E31" s="338">
        <v>21.5151739149929</v>
      </c>
      <c r="F31" s="186" t="s">
        <v>780</v>
      </c>
      <c r="G31" s="250">
        <v>1</v>
      </c>
      <c r="H31" s="13">
        <v>1</v>
      </c>
      <c r="I31" s="13">
        <v>1</v>
      </c>
      <c r="J31" s="13">
        <v>1</v>
      </c>
      <c r="K31" s="317">
        <v>1</v>
      </c>
      <c r="L31" s="350">
        <f t="shared" si="2"/>
        <v>9.9656111784768353E-2</v>
      </c>
      <c r="M31" s="33"/>
      <c r="Z31"/>
      <c r="AC31" s="368"/>
      <c r="AD31"/>
    </row>
    <row r="32" spans="1:30" s="6" customFormat="1">
      <c r="B32" s="862"/>
      <c r="D32" s="7"/>
      <c r="E32" s="863"/>
      <c r="F32" s="2"/>
      <c r="G32" s="1"/>
      <c r="H32" s="1"/>
      <c r="I32" s="1"/>
      <c r="J32" s="1"/>
      <c r="K32" s="1"/>
      <c r="L32" s="763"/>
      <c r="M32" s="7"/>
      <c r="Z32"/>
      <c r="AC32" s="368"/>
      <c r="AD32"/>
    </row>
    <row r="33" spans="1:30" s="6" customFormat="1">
      <c r="A33" s="861"/>
      <c r="B33" s="864"/>
      <c r="C33" s="861"/>
      <c r="D33" s="865"/>
      <c r="E33" s="866"/>
      <c r="F33" s="861"/>
      <c r="G33" s="861"/>
      <c r="H33" s="861"/>
      <c r="I33" s="861"/>
      <c r="J33" s="861"/>
      <c r="K33" s="861"/>
      <c r="L33" s="861"/>
      <c r="M33" s="861"/>
      <c r="N33" s="861"/>
      <c r="O33" s="861"/>
      <c r="P33" s="861"/>
      <c r="Q33" s="861"/>
      <c r="Z33"/>
      <c r="AC33" s="369"/>
      <c r="AD33"/>
    </row>
    <row r="34" spans="1:30" s="6" customFormat="1" ht="18">
      <c r="A34" s="382" t="s">
        <v>781</v>
      </c>
      <c r="B34" s="382"/>
      <c r="C34" s="382"/>
      <c r="D34" s="382"/>
      <c r="E34" s="382"/>
      <c r="F34" s="382"/>
      <c r="G34" s="382"/>
      <c r="H34" s="382"/>
      <c r="I34" s="382"/>
      <c r="J34" s="382"/>
      <c r="K34" s="382"/>
      <c r="L34" s="382"/>
      <c r="M34" s="382"/>
      <c r="N34" s="382"/>
      <c r="O34" s="382"/>
      <c r="P34" s="382"/>
      <c r="Q34" s="382"/>
      <c r="Z34"/>
    </row>
    <row r="35" spans="1:30" s="6" customFormat="1" ht="15" thickBot="1">
      <c r="K35"/>
      <c r="Z35"/>
    </row>
    <row r="36" spans="1:30" s="6" customFormat="1" ht="1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 thickBot="1">
      <c r="A37" s="117" t="s">
        <v>182</v>
      </c>
      <c r="B37" s="143" t="s">
        <v>395</v>
      </c>
      <c r="C37" s="117">
        <v>1990</v>
      </c>
      <c r="D37" s="9" t="s">
        <v>92</v>
      </c>
      <c r="E37" s="219">
        <f>_xlfn.XLOOKUP('Tyre wear'!C37,'Scaling tables'!$B$3:$B$12,'Scaling tables'!$H$3:$H$12)*_xlfn.XLOOKUP('Tyre wear'!C37,'Tyre wear'!$C$6:$C$13,'Tyre wear'!$E$6:$E$13)</f>
        <v>393.48030195907643</v>
      </c>
      <c r="F37" s="186" t="s">
        <v>782</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 thickBot="1">
      <c r="A38" s="117" t="s">
        <v>182</v>
      </c>
      <c r="B38" s="143" t="s">
        <v>395</v>
      </c>
      <c r="C38" s="117">
        <v>1995</v>
      </c>
      <c r="D38" s="9" t="s">
        <v>92</v>
      </c>
      <c r="E38" s="219">
        <f>_xlfn.XLOOKUP('Tyre wear'!C38,'Scaling tables'!$B$3:$B$12,'Scaling tables'!$H$3:$H$12)*_xlfn.XLOOKUP('Tyre wear'!C38,'Tyre wear'!$C$6:$C$13,'Tyre wear'!$E$6:$E$13)</f>
        <v>414.53829746083062</v>
      </c>
      <c r="F38" s="186" t="s">
        <v>782</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 thickBot="1">
      <c r="A39" s="117" t="s">
        <v>182</v>
      </c>
      <c r="B39" s="143" t="s">
        <v>395</v>
      </c>
      <c r="C39" s="117">
        <v>2000</v>
      </c>
      <c r="D39" s="9" t="s">
        <v>92</v>
      </c>
      <c r="E39" s="219">
        <f>_xlfn.XLOOKUP('Tyre wear'!C39,'Scaling tables'!$B$3:$B$12,'Scaling tables'!$H$3:$H$12)*_xlfn.XLOOKUP('Tyre wear'!C39,'Tyre wear'!$C$6:$C$13,'Tyre wear'!$E$6:$E$13)</f>
        <v>451.93964163246113</v>
      </c>
      <c r="F39" s="186" t="s">
        <v>782</v>
      </c>
      <c r="G39" s="13">
        <v>1</v>
      </c>
      <c r="H39" s="13">
        <v>1</v>
      </c>
      <c r="I39" s="13">
        <v>1</v>
      </c>
      <c r="J39" s="13">
        <v>1</v>
      </c>
      <c r="K39" s="317">
        <v>2</v>
      </c>
      <c r="L39" s="350">
        <f t="shared" si="3"/>
        <v>0.2160744213792255</v>
      </c>
      <c r="M39" s="33"/>
      <c r="R39"/>
      <c r="Z39"/>
    </row>
    <row r="40" spans="1:30" s="6" customFormat="1" ht="15" thickBot="1">
      <c r="A40" s="117" t="s">
        <v>182</v>
      </c>
      <c r="B40" s="143" t="s">
        <v>395</v>
      </c>
      <c r="C40" s="117">
        <v>2005</v>
      </c>
      <c r="D40" s="9" t="s">
        <v>92</v>
      </c>
      <c r="E40" s="219">
        <f>_xlfn.XLOOKUP('Tyre wear'!C40,'Scaling tables'!$B$3:$B$12,'Scaling tables'!$H$3:$H$12)*_xlfn.XLOOKUP('Tyre wear'!C40,'Tyre wear'!$C$6:$C$13,'Tyre wear'!$E$6:$E$13)</f>
        <v>473.98095485876485</v>
      </c>
      <c r="F40" s="186" t="s">
        <v>782</v>
      </c>
      <c r="G40" s="13">
        <v>1</v>
      </c>
      <c r="H40" s="13">
        <v>1</v>
      </c>
      <c r="I40" s="13">
        <v>1</v>
      </c>
      <c r="J40" s="13">
        <v>1</v>
      </c>
      <c r="K40" s="317">
        <v>2</v>
      </c>
      <c r="L40" s="350">
        <f t="shared" si="3"/>
        <v>0.2160744213792255</v>
      </c>
      <c r="M40" s="33"/>
      <c r="R40"/>
      <c r="Z40"/>
    </row>
    <row r="41" spans="1:30" s="6" customFormat="1" ht="15" thickBot="1">
      <c r="A41" s="117" t="s">
        <v>182</v>
      </c>
      <c r="B41" s="143" t="s">
        <v>395</v>
      </c>
      <c r="C41" s="117">
        <v>2010</v>
      </c>
      <c r="D41" s="9" t="s">
        <v>92</v>
      </c>
      <c r="E41" s="219">
        <f>_xlfn.XLOOKUP('Tyre wear'!C41,'Scaling tables'!$B$3:$B$12,'Scaling tables'!$H$3:$H$12)*_xlfn.XLOOKUP('Tyre wear'!C41,'Tyre wear'!$C$6:$C$13,'Tyre wear'!$E$6:$E$13)</f>
        <v>478.9472033360608</v>
      </c>
      <c r="F41" s="186" t="s">
        <v>782</v>
      </c>
      <c r="G41" s="13">
        <v>1</v>
      </c>
      <c r="H41" s="13">
        <v>1</v>
      </c>
      <c r="I41" s="13">
        <v>1</v>
      </c>
      <c r="J41" s="13">
        <v>1</v>
      </c>
      <c r="K41" s="317">
        <v>2</v>
      </c>
      <c r="L41" s="350">
        <f t="shared" si="3"/>
        <v>0.2160744213792255</v>
      </c>
      <c r="M41" s="33"/>
      <c r="R41"/>
      <c r="Z41"/>
    </row>
    <row r="42" spans="1:30" ht="15" thickBot="1">
      <c r="A42" s="117" t="s">
        <v>182</v>
      </c>
      <c r="B42" s="143" t="s">
        <v>395</v>
      </c>
      <c r="C42" s="117">
        <v>2015</v>
      </c>
      <c r="D42" s="9" t="s">
        <v>92</v>
      </c>
      <c r="E42" s="219">
        <f>_xlfn.XLOOKUP('Tyre wear'!C42,'Scaling tables'!$B$3:$B$12,'Scaling tables'!$H$3:$H$12)*_xlfn.XLOOKUP('Tyre wear'!C42,'Tyre wear'!$C$6:$C$13,'Tyre wear'!$E$6:$E$13)</f>
        <v>478.08873645143643</v>
      </c>
      <c r="F42" s="186" t="s">
        <v>782</v>
      </c>
      <c r="G42" s="13">
        <v>1</v>
      </c>
      <c r="H42" s="13">
        <v>1</v>
      </c>
      <c r="I42" s="13">
        <v>1</v>
      </c>
      <c r="J42" s="13">
        <v>1</v>
      </c>
      <c r="K42" s="317">
        <v>2</v>
      </c>
      <c r="L42" s="350">
        <f t="shared" si="3"/>
        <v>0.2160744213792255</v>
      </c>
      <c r="M42" s="33"/>
      <c r="P42" s="6"/>
      <c r="Q42" s="6"/>
    </row>
    <row r="43" spans="1:30" ht="15" thickBot="1">
      <c r="A43" s="117" t="s">
        <v>182</v>
      </c>
      <c r="B43" s="143" t="s">
        <v>395</v>
      </c>
      <c r="C43" s="117">
        <v>2019</v>
      </c>
      <c r="D43" s="9" t="s">
        <v>92</v>
      </c>
      <c r="E43" s="219">
        <f>_xlfn.XLOOKUP('Tyre wear'!C43,'Scaling tables'!$B$3:$B$12,'Scaling tables'!$H$3:$H$12)*_xlfn.XLOOKUP('Tyre wear'!C43,'Tyre wear'!$C$6:$C$13,'Tyre wear'!$E$6:$E$13)</f>
        <v>498.40670894401939</v>
      </c>
      <c r="F43" s="186" t="s">
        <v>782</v>
      </c>
      <c r="G43" s="13">
        <v>1</v>
      </c>
      <c r="H43" s="13">
        <v>1</v>
      </c>
      <c r="I43" s="13">
        <v>1</v>
      </c>
      <c r="J43" s="13">
        <v>1</v>
      </c>
      <c r="K43" s="317">
        <v>2</v>
      </c>
      <c r="L43" s="350">
        <f t="shared" si="3"/>
        <v>0.2160744213792255</v>
      </c>
      <c r="M43" s="33"/>
      <c r="P43" s="6"/>
      <c r="Q43" s="6"/>
    </row>
    <row r="44" spans="1:30" ht="15" thickBot="1">
      <c r="A44" s="117" t="s">
        <v>182</v>
      </c>
      <c r="B44" s="143" t="s">
        <v>395</v>
      </c>
      <c r="C44" s="117">
        <v>2020</v>
      </c>
      <c r="D44" s="9" t="s">
        <v>92</v>
      </c>
      <c r="E44" s="219">
        <f>_xlfn.XLOOKUP('Tyre wear'!C44,'Scaling tables'!$B$3:$B$12,'Scaling tables'!$H$3:$H$12)*_xlfn.XLOOKUP('Tyre wear'!C44,'Tyre wear'!$C$6:$C$13,'Tyre wear'!$E$6:$E$13)</f>
        <v>429.76922283483776</v>
      </c>
      <c r="F44" s="186" t="s">
        <v>782</v>
      </c>
      <c r="G44" s="13">
        <v>1</v>
      </c>
      <c r="H44" s="13">
        <v>1</v>
      </c>
      <c r="I44" s="13">
        <v>1</v>
      </c>
      <c r="J44" s="13">
        <v>1</v>
      </c>
      <c r="K44" s="317">
        <v>2</v>
      </c>
      <c r="L44" s="350">
        <f t="shared" si="3"/>
        <v>0.2160744213792255</v>
      </c>
      <c r="M44" s="33"/>
      <c r="P44" s="6"/>
      <c r="Q44" s="6"/>
    </row>
    <row r="45" spans="1:30" ht="1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 thickBot="1">
      <c r="A46" s="117" t="s">
        <v>182</v>
      </c>
      <c r="B46" s="143" t="s">
        <v>395</v>
      </c>
      <c r="C46" s="117">
        <v>1990</v>
      </c>
      <c r="D46" s="9" t="s">
        <v>92</v>
      </c>
      <c r="E46" s="219">
        <f>_xlfn.XLOOKUP('Tyre wear'!C46,'Scaling tables'!$B$3:$B$12,'Scaling tables'!$H$3:$H$12)*_xlfn.XLOOKUP('Tyre wear'!C46,'Tyre wear'!$C$15:$C$22,'Tyre wear'!$E$15:$E$22)</f>
        <v>274.36551667214508</v>
      </c>
      <c r="F46" s="186" t="s">
        <v>783</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 thickBot="1">
      <c r="A47" s="117" t="s">
        <v>182</v>
      </c>
      <c r="B47" s="143" t="s">
        <v>395</v>
      </c>
      <c r="C47" s="117">
        <v>1995</v>
      </c>
      <c r="D47" s="9" t="s">
        <v>92</v>
      </c>
      <c r="E47" s="219">
        <f>_xlfn.XLOOKUP('Tyre wear'!C47,'Scaling tables'!$B$3:$B$12,'Scaling tables'!$H$3:$H$12)*_xlfn.XLOOKUP('Tyre wear'!C47,'Tyre wear'!$C$15:$C$22,'Tyre wear'!$E$15:$E$22)</f>
        <v>289.04881285533907</v>
      </c>
      <c r="F47" s="186" t="s">
        <v>783</v>
      </c>
      <c r="G47" s="13">
        <v>1</v>
      </c>
      <c r="H47" s="13">
        <v>1</v>
      </c>
      <c r="I47" s="13">
        <v>1</v>
      </c>
      <c r="J47" s="13">
        <v>1</v>
      </c>
      <c r="K47" s="317">
        <v>2</v>
      </c>
      <c r="L47" s="350">
        <f t="shared" si="4"/>
        <v>0.2160744213792255</v>
      </c>
      <c r="M47" s="33"/>
      <c r="P47" s="6"/>
      <c r="Q47" s="6"/>
    </row>
    <row r="48" spans="1:30" ht="15" thickBot="1">
      <c r="A48" s="117" t="s">
        <v>182</v>
      </c>
      <c r="B48" s="143" t="s">
        <v>395</v>
      </c>
      <c r="C48" s="117">
        <v>2000</v>
      </c>
      <c r="D48" s="9" t="s">
        <v>92</v>
      </c>
      <c r="E48" s="219">
        <f>_xlfn.XLOOKUP('Tyre wear'!C48,'Scaling tables'!$B$3:$B$12,'Scaling tables'!$H$3:$H$12)*_xlfn.XLOOKUP('Tyre wear'!C48,'Tyre wear'!$C$15:$C$22,'Tyre wear'!$E$15:$E$22)</f>
        <v>315.12798141039013</v>
      </c>
      <c r="F48" s="186" t="s">
        <v>783</v>
      </c>
      <c r="G48" s="13">
        <v>1</v>
      </c>
      <c r="H48" s="13">
        <v>1</v>
      </c>
      <c r="I48" s="13">
        <v>1</v>
      </c>
      <c r="J48" s="13">
        <v>1</v>
      </c>
      <c r="K48" s="317">
        <v>2</v>
      </c>
      <c r="L48" s="350">
        <f t="shared" si="4"/>
        <v>0.2160744213792255</v>
      </c>
      <c r="M48" s="33"/>
      <c r="P48" s="6"/>
      <c r="Q48" s="6"/>
    </row>
    <row r="49" spans="1:17" ht="15" thickBot="1">
      <c r="A49" s="117" t="s">
        <v>182</v>
      </c>
      <c r="B49" s="143" t="s">
        <v>395</v>
      </c>
      <c r="C49" s="117">
        <v>2005</v>
      </c>
      <c r="D49" s="9" t="s">
        <v>92</v>
      </c>
      <c r="E49" s="219">
        <f>_xlfn.XLOOKUP('Tyre wear'!C49,'Scaling tables'!$B$3:$B$12,'Scaling tables'!$H$3:$H$12)*_xlfn.XLOOKUP('Tyre wear'!C49,'Tyre wear'!$C$15:$C$22,'Tyre wear'!$E$15:$E$22)</f>
        <v>330.49692430627994</v>
      </c>
      <c r="F49" s="186" t="s">
        <v>783</v>
      </c>
      <c r="G49" s="13">
        <v>1</v>
      </c>
      <c r="H49" s="13">
        <v>1</v>
      </c>
      <c r="I49" s="13">
        <v>1</v>
      </c>
      <c r="J49" s="13">
        <v>1</v>
      </c>
      <c r="K49" s="317">
        <v>2</v>
      </c>
      <c r="L49" s="350">
        <f t="shared" si="4"/>
        <v>0.2160744213792255</v>
      </c>
      <c r="M49" s="33"/>
      <c r="P49" s="6"/>
      <c r="Q49" s="6"/>
    </row>
    <row r="50" spans="1:17" ht="15" thickBot="1">
      <c r="A50" s="117" t="s">
        <v>182</v>
      </c>
      <c r="B50" s="143" t="s">
        <v>395</v>
      </c>
      <c r="C50" s="117">
        <v>2010</v>
      </c>
      <c r="D50" s="9" t="s">
        <v>92</v>
      </c>
      <c r="E50" s="219">
        <f>_xlfn.XLOOKUP('Tyre wear'!C50,'Scaling tables'!$B$3:$B$12,'Scaling tables'!$H$3:$H$12)*_xlfn.XLOOKUP('Tyre wear'!C50,'Tyre wear'!$C$15:$C$22,'Tyre wear'!$E$15:$E$22)</f>
        <v>333.95978463908972</v>
      </c>
      <c r="F50" s="186" t="s">
        <v>783</v>
      </c>
      <c r="G50" s="13">
        <v>1</v>
      </c>
      <c r="H50" s="13">
        <v>1</v>
      </c>
      <c r="I50" s="13">
        <v>1</v>
      </c>
      <c r="J50" s="13">
        <v>1</v>
      </c>
      <c r="K50" s="317">
        <v>2</v>
      </c>
      <c r="L50" s="350">
        <f t="shared" si="4"/>
        <v>0.2160744213792255</v>
      </c>
      <c r="M50" s="33"/>
      <c r="P50" s="6"/>
      <c r="Q50" s="6"/>
    </row>
    <row r="51" spans="1:17" ht="15" thickBot="1">
      <c r="A51" s="117" t="s">
        <v>182</v>
      </c>
      <c r="B51" s="143" t="s">
        <v>395</v>
      </c>
      <c r="C51" s="117">
        <v>2015</v>
      </c>
      <c r="D51" s="9" t="s">
        <v>92</v>
      </c>
      <c r="E51" s="219">
        <f>_xlfn.XLOOKUP('Tyre wear'!C51,'Scaling tables'!$B$3:$B$12,'Scaling tables'!$H$3:$H$12)*_xlfn.XLOOKUP('Tyre wear'!C51,'Tyre wear'!$C$15:$C$22,'Tyre wear'!$E$15:$E$22)</f>
        <v>333.36119378416316</v>
      </c>
      <c r="F51" s="186" t="s">
        <v>783</v>
      </c>
      <c r="G51" s="13">
        <v>1</v>
      </c>
      <c r="H51" s="13">
        <v>1</v>
      </c>
      <c r="I51" s="13">
        <v>1</v>
      </c>
      <c r="J51" s="13">
        <v>1</v>
      </c>
      <c r="K51" s="317">
        <v>2</v>
      </c>
      <c r="L51" s="350">
        <f t="shared" si="4"/>
        <v>0.2160744213792255</v>
      </c>
      <c r="M51" s="33"/>
      <c r="P51" s="6"/>
      <c r="Q51" s="6"/>
    </row>
    <row r="52" spans="1:17" ht="15" thickBot="1">
      <c r="A52" s="117" t="s">
        <v>182</v>
      </c>
      <c r="B52" s="143" t="s">
        <v>395</v>
      </c>
      <c r="C52" s="117">
        <v>2019</v>
      </c>
      <c r="D52" s="9" t="s">
        <v>92</v>
      </c>
      <c r="E52" s="219">
        <f>_xlfn.XLOOKUP('Tyre wear'!C52,'Scaling tables'!$B$3:$B$12,'Scaling tables'!$H$3:$H$12)*_xlfn.XLOOKUP('Tyre wear'!C52,'Tyre wear'!$C$15:$C$22,'Tyre wear'!$E$15:$E$22)</f>
        <v>347.5284875289928</v>
      </c>
      <c r="F52" s="186" t="s">
        <v>783</v>
      </c>
      <c r="G52" s="13">
        <v>1</v>
      </c>
      <c r="H52" s="13">
        <v>1</v>
      </c>
      <c r="I52" s="13">
        <v>1</v>
      </c>
      <c r="J52" s="13">
        <v>1</v>
      </c>
      <c r="K52" s="317">
        <v>2</v>
      </c>
      <c r="L52" s="350">
        <f t="shared" si="4"/>
        <v>0.2160744213792255</v>
      </c>
      <c r="M52" s="33"/>
      <c r="P52" s="6"/>
      <c r="Q52" s="6"/>
    </row>
    <row r="53" spans="1:17" ht="15" thickBot="1">
      <c r="A53" s="117" t="s">
        <v>182</v>
      </c>
      <c r="B53" s="143" t="s">
        <v>395</v>
      </c>
      <c r="C53" s="117">
        <v>2020</v>
      </c>
      <c r="D53" s="9" t="s">
        <v>92</v>
      </c>
      <c r="E53" s="219">
        <f>_xlfn.XLOOKUP('Tyre wear'!C53,'Scaling tables'!$B$3:$B$12,'Scaling tables'!$H$3:$H$12)*_xlfn.XLOOKUP('Tyre wear'!C53,'Tyre wear'!$C$15:$C$22,'Tyre wear'!$E$15:$E$22)</f>
        <v>299.66901592225156</v>
      </c>
      <c r="F53" s="186" t="s">
        <v>783</v>
      </c>
      <c r="G53" s="13">
        <v>1</v>
      </c>
      <c r="H53" s="13">
        <v>1</v>
      </c>
      <c r="I53" s="13">
        <v>1</v>
      </c>
      <c r="J53" s="13">
        <v>1</v>
      </c>
      <c r="K53" s="317">
        <v>2</v>
      </c>
      <c r="L53" s="350">
        <f t="shared" si="4"/>
        <v>0.2160744213792255</v>
      </c>
      <c r="M53" s="33"/>
      <c r="P53" s="6"/>
      <c r="Q53" s="6"/>
    </row>
    <row r="54" spans="1:17" ht="1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 thickBot="1">
      <c r="A55" s="117" t="s">
        <v>182</v>
      </c>
      <c r="B55" s="143" t="s">
        <v>395</v>
      </c>
      <c r="C55" s="117">
        <v>1990</v>
      </c>
      <c r="D55" s="9" t="s">
        <v>92</v>
      </c>
      <c r="E55" s="219">
        <f>_xlfn.XLOOKUP('Tyre wear'!C55,'Scaling tables'!$B$3:$B$12,'Scaling tables'!$H$3:$H$12)*_xlfn.XLOOKUP('Tyre wear'!C55,'Tyre wear'!$C$24:$C$31,'Tyre wear'!$E$24:$E$31)</f>
        <v>505.23406118894758</v>
      </c>
      <c r="F55" s="186" t="s">
        <v>784</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 thickBot="1">
      <c r="A56" s="117" t="s">
        <v>182</v>
      </c>
      <c r="B56" s="143" t="s">
        <v>395</v>
      </c>
      <c r="C56" s="117">
        <v>1995</v>
      </c>
      <c r="D56" s="9" t="s">
        <v>92</v>
      </c>
      <c r="E56" s="219">
        <f>_xlfn.XLOOKUP('Tyre wear'!C56,'Scaling tables'!$B$3:$B$12,'Scaling tables'!$H$3:$H$12)*_xlfn.XLOOKUP('Tyre wear'!C56,'Tyre wear'!$C$24:$C$31,'Tyre wear'!$E$24:$E$31)</f>
        <v>532.27281391654117</v>
      </c>
      <c r="F56" s="186" t="s">
        <v>784</v>
      </c>
      <c r="G56" s="13">
        <v>1</v>
      </c>
      <c r="H56" s="13">
        <v>1</v>
      </c>
      <c r="I56" s="13">
        <v>1</v>
      </c>
      <c r="J56" s="13">
        <v>1</v>
      </c>
      <c r="K56" s="317">
        <v>2</v>
      </c>
      <c r="L56" s="350">
        <f t="shared" si="5"/>
        <v>0.2160744213792255</v>
      </c>
      <c r="M56" s="33"/>
      <c r="P56" s="6"/>
      <c r="Q56" s="6"/>
    </row>
    <row r="57" spans="1:17" ht="15" thickBot="1">
      <c r="A57" s="117" t="s">
        <v>182</v>
      </c>
      <c r="B57" s="143" t="s">
        <v>395</v>
      </c>
      <c r="C57" s="117">
        <v>2000</v>
      </c>
      <c r="D57" s="9" t="s">
        <v>92</v>
      </c>
      <c r="E57" s="219">
        <f>_xlfn.XLOOKUP('Tyre wear'!C57,'Scaling tables'!$B$3:$B$12,'Scaling tables'!$H$3:$H$12)*_xlfn.XLOOKUP('Tyre wear'!C57,'Tyre wear'!$C$24:$C$31,'Tyre wear'!$E$24:$E$31)</f>
        <v>580.29664869474288</v>
      </c>
      <c r="F57" s="186" t="s">
        <v>784</v>
      </c>
      <c r="G57" s="13">
        <v>1</v>
      </c>
      <c r="H57" s="13">
        <v>1</v>
      </c>
      <c r="I57" s="13">
        <v>1</v>
      </c>
      <c r="J57" s="13">
        <v>1</v>
      </c>
      <c r="K57" s="317">
        <v>2</v>
      </c>
      <c r="L57" s="350">
        <f t="shared" si="5"/>
        <v>0.2160744213792255</v>
      </c>
      <c r="M57" s="33"/>
      <c r="P57" s="6"/>
      <c r="Q57" s="6"/>
    </row>
    <row r="58" spans="1:17" ht="15" thickBot="1">
      <c r="A58" s="117" t="s">
        <v>182</v>
      </c>
      <c r="B58" s="143" t="s">
        <v>395</v>
      </c>
      <c r="C58" s="117">
        <v>2005</v>
      </c>
      <c r="D58" s="9" t="s">
        <v>92</v>
      </c>
      <c r="E58" s="219">
        <f>_xlfn.XLOOKUP('Tyre wear'!C58,'Scaling tables'!$B$3:$B$12,'Scaling tables'!$H$3:$H$12)*_xlfn.XLOOKUP('Tyre wear'!C58,'Tyre wear'!$C$24:$C$31,'Tyre wear'!$E$24:$E$31)</f>
        <v>608.59799475912735</v>
      </c>
      <c r="F58" s="186" t="s">
        <v>784</v>
      </c>
      <c r="G58" s="13">
        <v>1</v>
      </c>
      <c r="H58" s="13">
        <v>1</v>
      </c>
      <c r="I58" s="13">
        <v>1</v>
      </c>
      <c r="J58" s="13">
        <v>1</v>
      </c>
      <c r="K58" s="317">
        <v>2</v>
      </c>
      <c r="L58" s="350">
        <f t="shared" si="5"/>
        <v>0.2160744213792255</v>
      </c>
      <c r="M58" s="33"/>
      <c r="P58" s="6"/>
      <c r="Q58" s="6"/>
    </row>
    <row r="59" spans="1:17" ht="15" thickBot="1">
      <c r="A59" s="117" t="s">
        <v>182</v>
      </c>
      <c r="B59" s="143" t="s">
        <v>395</v>
      </c>
      <c r="C59" s="117">
        <v>2010</v>
      </c>
      <c r="D59" s="9" t="s">
        <v>92</v>
      </c>
      <c r="E59" s="219">
        <f>_xlfn.XLOOKUP('Tyre wear'!C59,'Scaling tables'!$B$3:$B$12,'Scaling tables'!$H$3:$H$12)*_xlfn.XLOOKUP('Tyre wear'!C59,'Tyre wear'!$C$24:$C$31,'Tyre wear'!$E$24:$E$31)</f>
        <v>614.97472537198053</v>
      </c>
      <c r="F59" s="186" t="s">
        <v>784</v>
      </c>
      <c r="G59" s="13">
        <v>1</v>
      </c>
      <c r="H59" s="13">
        <v>1</v>
      </c>
      <c r="I59" s="13">
        <v>1</v>
      </c>
      <c r="J59" s="13">
        <v>1</v>
      </c>
      <c r="K59" s="317">
        <v>2</v>
      </c>
      <c r="L59" s="350">
        <f t="shared" si="5"/>
        <v>0.2160744213792255</v>
      </c>
      <c r="M59" s="33"/>
      <c r="P59" s="6"/>
      <c r="Q59" s="6"/>
    </row>
    <row r="60" spans="1:17" ht="15" thickBot="1">
      <c r="A60" s="117" t="s">
        <v>182</v>
      </c>
      <c r="B60" s="143" t="s">
        <v>395</v>
      </c>
      <c r="C60" s="117">
        <v>2015</v>
      </c>
      <c r="D60" s="9" t="s">
        <v>92</v>
      </c>
      <c r="E60" s="219">
        <f>_xlfn.XLOOKUP('Tyre wear'!C60,'Scaling tables'!$B$3:$B$12,'Scaling tables'!$H$3:$H$12)*_xlfn.XLOOKUP('Tyre wear'!C60,'Tyre wear'!$C$24:$C$31,'Tyre wear'!$E$24:$E$31)</f>
        <v>613.87244221230344</v>
      </c>
      <c r="F60" s="186" t="s">
        <v>784</v>
      </c>
      <c r="G60" s="13">
        <v>1</v>
      </c>
      <c r="H60" s="13">
        <v>1</v>
      </c>
      <c r="I60" s="13">
        <v>1</v>
      </c>
      <c r="J60" s="13">
        <v>1</v>
      </c>
      <c r="K60" s="317">
        <v>2</v>
      </c>
      <c r="L60" s="350">
        <f t="shared" si="5"/>
        <v>0.2160744213792255</v>
      </c>
      <c r="M60" s="33"/>
      <c r="P60" s="6"/>
      <c r="Q60" s="6"/>
    </row>
    <row r="61" spans="1:17" ht="15" thickBot="1">
      <c r="A61" s="117" t="s">
        <v>182</v>
      </c>
      <c r="B61" s="143" t="s">
        <v>395</v>
      </c>
      <c r="C61" s="117">
        <v>2019</v>
      </c>
      <c r="D61" s="9" t="s">
        <v>92</v>
      </c>
      <c r="E61" s="219">
        <f>_xlfn.XLOOKUP('Tyre wear'!C61,'Scaling tables'!$B$3:$B$12,'Scaling tables'!$H$3:$H$12)*_xlfn.XLOOKUP('Tyre wear'!C61,'Tyre wear'!$C$24:$C$31,'Tyre wear'!$E$24:$E$31)</f>
        <v>639.96099532777771</v>
      </c>
      <c r="F61" s="186" t="s">
        <v>784</v>
      </c>
      <c r="G61" s="13">
        <v>1</v>
      </c>
      <c r="H61" s="13">
        <v>1</v>
      </c>
      <c r="I61" s="13">
        <v>1</v>
      </c>
      <c r="J61" s="13">
        <v>1</v>
      </c>
      <c r="K61" s="317">
        <v>2</v>
      </c>
      <c r="L61" s="350">
        <f t="shared" si="5"/>
        <v>0.2160744213792255</v>
      </c>
      <c r="M61" s="33"/>
      <c r="P61" s="6"/>
      <c r="Q61" s="6"/>
    </row>
    <row r="62" spans="1:17">
      <c r="A62" s="117" t="s">
        <v>182</v>
      </c>
      <c r="B62" s="143" t="s">
        <v>395</v>
      </c>
      <c r="C62" s="117">
        <v>2020</v>
      </c>
      <c r="D62" s="9" t="s">
        <v>92</v>
      </c>
      <c r="E62" s="219">
        <f>_xlfn.XLOOKUP('Tyre wear'!C62,'Scaling tables'!$B$3:$B$12,'Scaling tables'!$H$3:$H$12)*_xlfn.XLOOKUP('Tyre wear'!C62,'Tyre wear'!$C$24:$C$31,'Tyre wear'!$E$24:$E$31)</f>
        <v>551.8295293202433</v>
      </c>
      <c r="F62" s="186" t="s">
        <v>784</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8.600000000000001" thickBot="1">
      <c r="A64" s="382" t="s">
        <v>15</v>
      </c>
      <c r="B64" s="382"/>
      <c r="C64" s="382"/>
      <c r="D64" s="382"/>
      <c r="E64" s="382"/>
      <c r="F64" s="382"/>
      <c r="G64" s="382"/>
      <c r="H64" s="382"/>
      <c r="I64" s="382"/>
      <c r="J64" s="382"/>
      <c r="K64" s="382"/>
      <c r="L64" s="382"/>
      <c r="M64" s="382"/>
      <c r="N64" s="382"/>
      <c r="O64" s="382"/>
      <c r="P64" s="382"/>
      <c r="Q64" s="382"/>
    </row>
    <row r="65" spans="1:17" ht="1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395</v>
      </c>
      <c r="B66" s="95" t="s">
        <v>269</v>
      </c>
      <c r="C66" s="514">
        <v>2020</v>
      </c>
      <c r="D66" s="95" t="s">
        <v>180</v>
      </c>
      <c r="E66" s="319" t="s">
        <v>785</v>
      </c>
      <c r="F66" s="517">
        <v>0.51183817172326096</v>
      </c>
      <c r="G66" s="319">
        <v>1</v>
      </c>
      <c r="H66" s="520" t="s">
        <v>786</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395</v>
      </c>
      <c r="B67" s="68" t="s">
        <v>397</v>
      </c>
      <c r="C67" s="515">
        <v>2020</v>
      </c>
      <c r="D67" s="68" t="s">
        <v>180</v>
      </c>
      <c r="E67" s="307" t="s">
        <v>785</v>
      </c>
      <c r="F67" s="518">
        <v>0.23042071552195001</v>
      </c>
      <c r="G67" s="307">
        <v>1</v>
      </c>
      <c r="H67" s="521" t="s">
        <v>786</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395</v>
      </c>
      <c r="B68" s="68" t="s">
        <v>394</v>
      </c>
      <c r="C68" s="515">
        <v>2020</v>
      </c>
      <c r="D68" s="68" t="s">
        <v>180</v>
      </c>
      <c r="E68" s="307" t="s">
        <v>785</v>
      </c>
      <c r="F68" s="518">
        <v>0.257741112754788</v>
      </c>
      <c r="G68" s="307">
        <v>1</v>
      </c>
      <c r="H68" s="521" t="s">
        <v>786</v>
      </c>
      <c r="I68" s="172">
        <v>1</v>
      </c>
      <c r="J68" s="10"/>
      <c r="K68" s="10">
        <v>1</v>
      </c>
      <c r="L68" s="10">
        <v>1</v>
      </c>
      <c r="M68" s="10">
        <v>1</v>
      </c>
      <c r="N68" s="10">
        <v>1</v>
      </c>
      <c r="O68" s="177" t="str">
        <f t="shared" si="6"/>
        <v/>
      </c>
      <c r="P68" s="34"/>
      <c r="Q68" s="6"/>
    </row>
    <row r="69" spans="1:17">
      <c r="A69" t="s">
        <v>395</v>
      </c>
      <c r="B69" s="68" t="s">
        <v>269</v>
      </c>
      <c r="C69" s="515">
        <v>2020</v>
      </c>
      <c r="D69" s="68" t="s">
        <v>182</v>
      </c>
      <c r="E69" s="307" t="s">
        <v>785</v>
      </c>
      <c r="F69" s="518">
        <v>0.51183817172326096</v>
      </c>
      <c r="G69" s="307">
        <v>1</v>
      </c>
      <c r="H69" s="521" t="s">
        <v>787</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395</v>
      </c>
      <c r="B70" s="68" t="s">
        <v>397</v>
      </c>
      <c r="C70" s="515">
        <v>2020</v>
      </c>
      <c r="D70" s="68" t="s">
        <v>182</v>
      </c>
      <c r="E70" s="307" t="s">
        <v>785</v>
      </c>
      <c r="F70" s="518">
        <v>0.23042071552195001</v>
      </c>
      <c r="G70" s="307">
        <v>1</v>
      </c>
      <c r="H70" s="521" t="s">
        <v>787</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 thickBot="1">
      <c r="A71" t="s">
        <v>395</v>
      </c>
      <c r="B71" s="72" t="s">
        <v>394</v>
      </c>
      <c r="C71" s="516">
        <v>2020</v>
      </c>
      <c r="D71" s="72" t="s">
        <v>182</v>
      </c>
      <c r="E71" s="320" t="s">
        <v>785</v>
      </c>
      <c r="F71" s="519">
        <v>0.257741112754788</v>
      </c>
      <c r="G71" s="320">
        <v>1</v>
      </c>
      <c r="H71" s="522" t="s">
        <v>787</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 thickBot="1">
      <c r="O72" s="6"/>
      <c r="P72" s="6"/>
      <c r="Q72" s="6"/>
    </row>
    <row r="73" spans="1:17" ht="1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397</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394</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397</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394</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788</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397</v>
      </c>
      <c r="B84" s="151" t="s">
        <v>300</v>
      </c>
      <c r="C84" s="34">
        <v>2005</v>
      </c>
      <c r="D84" s="40" t="s">
        <v>139</v>
      </c>
      <c r="E84" s="34" t="s">
        <v>139</v>
      </c>
      <c r="F84" s="262">
        <v>0.1</v>
      </c>
      <c r="G84" s="232">
        <v>2</v>
      </c>
      <c r="H84" s="40" t="s">
        <v>301</v>
      </c>
      <c r="I84" s="249">
        <v>2</v>
      </c>
      <c r="J84" s="10">
        <v>2</v>
      </c>
      <c r="K84" s="10">
        <v>2</v>
      </c>
      <c r="L84" s="10">
        <v>2</v>
      </c>
      <c r="M84" s="10">
        <v>1</v>
      </c>
      <c r="N84" s="10">
        <v>1</v>
      </c>
      <c r="O84" s="427">
        <f t="shared" si="7"/>
        <v>0.20691468599228219</v>
      </c>
      <c r="P84" s="63"/>
    </row>
    <row r="85" spans="1:16">
      <c r="A85" s="151" t="s">
        <v>394</v>
      </c>
      <c r="B85" s="151" t="s">
        <v>300</v>
      </c>
      <c r="C85" s="34">
        <v>2005</v>
      </c>
      <c r="D85" s="40" t="s">
        <v>139</v>
      </c>
      <c r="E85" s="34" t="s">
        <v>139</v>
      </c>
      <c r="F85" s="262">
        <v>0.01</v>
      </c>
      <c r="G85" s="232">
        <v>2</v>
      </c>
      <c r="H85" s="40" t="s">
        <v>301</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397</v>
      </c>
      <c r="B88" s="151" t="s">
        <v>300</v>
      </c>
      <c r="C88" s="34">
        <v>2005</v>
      </c>
      <c r="D88" s="40" t="s">
        <v>139</v>
      </c>
      <c r="E88" s="34" t="s">
        <v>139</v>
      </c>
      <c r="F88" s="262">
        <v>0.02</v>
      </c>
      <c r="G88" s="232">
        <v>2</v>
      </c>
      <c r="H88" s="40" t="s">
        <v>301</v>
      </c>
      <c r="I88" s="249">
        <v>2</v>
      </c>
      <c r="J88" s="10">
        <v>2</v>
      </c>
      <c r="K88" s="10">
        <v>2</v>
      </c>
      <c r="L88" s="10">
        <v>2</v>
      </c>
      <c r="M88" s="10">
        <v>1</v>
      </c>
      <c r="N88" s="10">
        <v>1</v>
      </c>
      <c r="O88" s="427">
        <f t="shared" si="7"/>
        <v>0.20691468599228219</v>
      </c>
      <c r="P88" s="63"/>
    </row>
    <row r="89" spans="1:16">
      <c r="A89" s="151" t="s">
        <v>394</v>
      </c>
      <c r="B89" s="151" t="s">
        <v>300</v>
      </c>
      <c r="C89" s="34">
        <v>2005</v>
      </c>
      <c r="D89" s="40" t="s">
        <v>139</v>
      </c>
      <c r="E89" s="34" t="s">
        <v>139</v>
      </c>
      <c r="F89" s="262">
        <v>0.02</v>
      </c>
      <c r="G89" s="232">
        <v>2</v>
      </c>
      <c r="H89" s="40" t="s">
        <v>301</v>
      </c>
      <c r="I89" s="249">
        <v>2</v>
      </c>
      <c r="J89" s="10">
        <v>2</v>
      </c>
      <c r="K89" s="10">
        <v>2</v>
      </c>
      <c r="L89" s="10">
        <v>2</v>
      </c>
      <c r="M89" s="10">
        <v>1</v>
      </c>
      <c r="N89" s="10">
        <v>1</v>
      </c>
      <c r="O89" s="427">
        <f t="shared" si="7"/>
        <v>0.20691468599228219</v>
      </c>
      <c r="P89" s="63"/>
    </row>
    <row r="90" spans="1:16">
      <c r="A90" s="151" t="s">
        <v>271</v>
      </c>
      <c r="B90" s="151" t="s">
        <v>300</v>
      </c>
      <c r="C90" s="34">
        <v>2020</v>
      </c>
      <c r="D90" s="40" t="s">
        <v>139</v>
      </c>
      <c r="E90" s="34" t="s">
        <v>139</v>
      </c>
      <c r="F90" s="262">
        <v>0.8</v>
      </c>
      <c r="G90" s="232">
        <v>2</v>
      </c>
      <c r="H90" s="40" t="s">
        <v>380</v>
      </c>
      <c r="I90" s="249">
        <v>1</v>
      </c>
      <c r="J90" s="10">
        <v>2</v>
      </c>
      <c r="K90" s="10">
        <v>1</v>
      </c>
      <c r="L90" s="10">
        <v>1</v>
      </c>
      <c r="M90" s="10">
        <v>3</v>
      </c>
      <c r="N90" s="10">
        <v>3</v>
      </c>
      <c r="O90" s="427">
        <f t="shared" si="7"/>
        <v>0.70187535976129745</v>
      </c>
      <c r="P90" s="63"/>
    </row>
    <row r="91" spans="1:16">
      <c r="A91" s="151" t="s">
        <v>270</v>
      </c>
      <c r="B91" s="151" t="s">
        <v>300</v>
      </c>
      <c r="C91" s="34">
        <v>2005</v>
      </c>
      <c r="D91" s="40" t="s">
        <v>139</v>
      </c>
      <c r="E91" s="34" t="s">
        <v>139</v>
      </c>
      <c r="F91" s="262">
        <v>0.01</v>
      </c>
      <c r="G91" s="232">
        <v>2</v>
      </c>
      <c r="H91" s="40" t="s">
        <v>301</v>
      </c>
      <c r="I91" s="249">
        <v>2</v>
      </c>
      <c r="J91" s="10">
        <v>2</v>
      </c>
      <c r="K91" s="10">
        <v>2</v>
      </c>
      <c r="L91" s="10">
        <v>2</v>
      </c>
      <c r="M91" s="10">
        <v>1</v>
      </c>
      <c r="N91" s="10">
        <v>1</v>
      </c>
      <c r="O91" s="427">
        <f t="shared" si="7"/>
        <v>0.20691468599228219</v>
      </c>
      <c r="P91" s="63"/>
    </row>
    <row r="92" spans="1:16">
      <c r="A92" s="151" t="s">
        <v>271</v>
      </c>
      <c r="B92" s="151" t="s">
        <v>300</v>
      </c>
      <c r="C92" s="34">
        <v>2015</v>
      </c>
      <c r="D92" s="40" t="s">
        <v>139</v>
      </c>
      <c r="E92" s="34" t="s">
        <v>139</v>
      </c>
      <c r="F92" s="262">
        <v>0.9</v>
      </c>
      <c r="G92" s="232">
        <v>2</v>
      </c>
      <c r="H92" s="40" t="s">
        <v>378</v>
      </c>
      <c r="I92" s="249">
        <v>1</v>
      </c>
      <c r="J92" s="10">
        <v>2</v>
      </c>
      <c r="K92" s="10">
        <v>1</v>
      </c>
      <c r="L92" s="10">
        <v>1</v>
      </c>
      <c r="M92" s="10">
        <v>3</v>
      </c>
      <c r="N92" s="10">
        <v>3</v>
      </c>
      <c r="O92" s="427">
        <f t="shared" si="7"/>
        <v>0.70187535976129745</v>
      </c>
      <c r="P92" s="63"/>
    </row>
    <row r="93" spans="1:16">
      <c r="A93" s="151" t="s">
        <v>270</v>
      </c>
      <c r="B93" s="151" t="s">
        <v>300</v>
      </c>
      <c r="C93" s="34">
        <v>2005</v>
      </c>
      <c r="D93" s="40" t="s">
        <v>139</v>
      </c>
      <c r="E93" s="34" t="s">
        <v>139</v>
      </c>
      <c r="F93" s="262">
        <v>0.02</v>
      </c>
      <c r="G93" s="232">
        <v>2</v>
      </c>
      <c r="H93" s="40" t="s">
        <v>301</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 thickBot="1">
      <c r="A95" s="152" t="s">
        <v>271</v>
      </c>
      <c r="B95" s="152" t="s">
        <v>379</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 thickBot="1">
      <c r="A97" s="222" t="s">
        <v>789</v>
      </c>
      <c r="I97" s="383"/>
      <c r="J97" s="383"/>
      <c r="K97" s="383"/>
      <c r="L97" s="383"/>
      <c r="M97" s="383"/>
      <c r="N97" s="383"/>
      <c r="O97" s="383" t="str">
        <f t="shared" si="7"/>
        <v/>
      </c>
      <c r="P97" s="383"/>
    </row>
    <row r="98" spans="1:16">
      <c r="A98" s="33" t="s">
        <v>397</v>
      </c>
      <c r="B98" s="346" t="s">
        <v>393</v>
      </c>
      <c r="C98" s="39" t="s">
        <v>139</v>
      </c>
      <c r="D98" s="33" t="s">
        <v>139</v>
      </c>
      <c r="E98" s="39" t="s">
        <v>139</v>
      </c>
      <c r="F98" s="54" t="s">
        <v>150</v>
      </c>
      <c r="G98" s="167">
        <v>1</v>
      </c>
      <c r="H98" s="33"/>
      <c r="I98" s="251"/>
      <c r="J98" s="66"/>
      <c r="K98" s="66"/>
      <c r="L98" s="66"/>
      <c r="M98" s="66"/>
      <c r="N98" s="295"/>
      <c r="O98" s="176" t="str">
        <f t="shared" si="7"/>
        <v/>
      </c>
      <c r="P98" s="33" t="s">
        <v>790</v>
      </c>
    </row>
    <row r="99" spans="1:16">
      <c r="A99" s="34" t="s">
        <v>394</v>
      </c>
      <c r="B99" s="63" t="s">
        <v>258</v>
      </c>
      <c r="C99" s="40" t="s">
        <v>139</v>
      </c>
      <c r="D99" s="34" t="s">
        <v>139</v>
      </c>
      <c r="E99" s="40" t="s">
        <v>139</v>
      </c>
      <c r="F99" s="55">
        <v>0.1</v>
      </c>
      <c r="G99" s="168">
        <v>1</v>
      </c>
      <c r="H99" s="34" t="s">
        <v>378</v>
      </c>
      <c r="I99" s="172">
        <v>1</v>
      </c>
      <c r="J99" s="10">
        <v>3</v>
      </c>
      <c r="K99" s="10">
        <v>2</v>
      </c>
      <c r="L99" s="10">
        <v>1</v>
      </c>
      <c r="M99" s="10">
        <v>1</v>
      </c>
      <c r="N99" s="10">
        <v>2</v>
      </c>
      <c r="O99" s="177">
        <f t="shared" si="7"/>
        <v>0.24010193209435579</v>
      </c>
      <c r="P99" s="34"/>
    </row>
    <row r="100" spans="1:16">
      <c r="A100" s="34" t="s">
        <v>379</v>
      </c>
      <c r="B100" s="63" t="s">
        <v>258</v>
      </c>
      <c r="C100" s="40" t="s">
        <v>139</v>
      </c>
      <c r="D100" s="34" t="s">
        <v>139</v>
      </c>
      <c r="E100" s="40" t="s">
        <v>139</v>
      </c>
      <c r="F100" s="55">
        <v>0.1</v>
      </c>
      <c r="G100" s="168">
        <v>2</v>
      </c>
      <c r="H100" s="34" t="s">
        <v>378</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378</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791</v>
      </c>
    </row>
    <row r="102" spans="1:16">
      <c r="A102" s="34" t="s">
        <v>397</v>
      </c>
      <c r="B102" s="63" t="s">
        <v>377</v>
      </c>
      <c r="C102" s="307">
        <v>2015</v>
      </c>
      <c r="D102" s="34" t="s">
        <v>139</v>
      </c>
      <c r="E102" s="40" t="s">
        <v>139</v>
      </c>
      <c r="F102" s="55">
        <v>0.4</v>
      </c>
      <c r="G102" s="168">
        <v>2</v>
      </c>
      <c r="H102" s="34" t="s">
        <v>378</v>
      </c>
      <c r="I102" s="172">
        <v>1</v>
      </c>
      <c r="J102" s="10">
        <v>3</v>
      </c>
      <c r="K102" s="10">
        <v>2</v>
      </c>
      <c r="L102" s="10">
        <v>1</v>
      </c>
      <c r="M102" s="10">
        <v>1</v>
      </c>
      <c r="N102" s="10">
        <v>2</v>
      </c>
      <c r="O102" s="177">
        <f t="shared" si="7"/>
        <v>0.24010193209435579</v>
      </c>
      <c r="P102" s="34" t="s">
        <v>792</v>
      </c>
    </row>
    <row r="103" spans="1:16">
      <c r="A103" s="34" t="s">
        <v>394</v>
      </c>
      <c r="B103" s="63" t="s">
        <v>377</v>
      </c>
      <c r="C103" s="307">
        <v>2015</v>
      </c>
      <c r="D103" s="34" t="s">
        <v>139</v>
      </c>
      <c r="E103" s="40" t="s">
        <v>139</v>
      </c>
      <c r="F103" s="55">
        <v>0.9</v>
      </c>
      <c r="G103" s="168">
        <v>1</v>
      </c>
      <c r="H103" s="34" t="s">
        <v>378</v>
      </c>
      <c r="I103" s="172">
        <v>1</v>
      </c>
      <c r="J103" s="10">
        <v>3</v>
      </c>
      <c r="K103" s="10">
        <v>2</v>
      </c>
      <c r="L103" s="10">
        <v>1</v>
      </c>
      <c r="M103" s="10">
        <v>1</v>
      </c>
      <c r="N103" s="10">
        <v>2</v>
      </c>
      <c r="O103" s="177">
        <f t="shared" si="7"/>
        <v>0.24010193209435579</v>
      </c>
      <c r="P103" s="34"/>
    </row>
    <row r="104" spans="1:16">
      <c r="A104" s="34" t="s">
        <v>275</v>
      </c>
      <c r="B104" s="63" t="s">
        <v>377</v>
      </c>
      <c r="C104" s="307">
        <v>2015</v>
      </c>
      <c r="D104" s="34" t="s">
        <v>139</v>
      </c>
      <c r="E104" s="40" t="s">
        <v>139</v>
      </c>
      <c r="F104" s="55">
        <v>0.9</v>
      </c>
      <c r="G104" s="168">
        <v>2</v>
      </c>
      <c r="H104" s="34" t="s">
        <v>378</v>
      </c>
      <c r="I104" s="172">
        <v>1</v>
      </c>
      <c r="J104" s="10">
        <v>3</v>
      </c>
      <c r="K104" s="10">
        <v>2</v>
      </c>
      <c r="L104" s="10">
        <v>1</v>
      </c>
      <c r="M104" s="10">
        <v>1</v>
      </c>
      <c r="N104" s="10">
        <v>2</v>
      </c>
      <c r="O104" s="177">
        <f t="shared" si="7"/>
        <v>0.24010193209435579</v>
      </c>
      <c r="P104" s="34"/>
    </row>
    <row r="105" spans="1:16">
      <c r="A105" s="34" t="s">
        <v>379</v>
      </c>
      <c r="B105" s="63" t="s">
        <v>377</v>
      </c>
      <c r="C105" s="307">
        <v>2015</v>
      </c>
      <c r="D105" s="34" t="s">
        <v>139</v>
      </c>
      <c r="E105" s="40" t="s">
        <v>139</v>
      </c>
      <c r="F105" s="55">
        <v>0.9</v>
      </c>
      <c r="G105" s="168">
        <v>2</v>
      </c>
      <c r="H105" s="34" t="s">
        <v>378</v>
      </c>
      <c r="I105" s="172">
        <v>1</v>
      </c>
      <c r="J105" s="10">
        <v>3</v>
      </c>
      <c r="K105" s="10">
        <v>2</v>
      </c>
      <c r="L105" s="10">
        <v>1</v>
      </c>
      <c r="M105" s="10">
        <v>1</v>
      </c>
      <c r="N105" s="10">
        <v>2</v>
      </c>
      <c r="O105" s="177">
        <f t="shared" si="7"/>
        <v>0.24010193209435579</v>
      </c>
      <c r="P105" s="34"/>
    </row>
    <row r="106" spans="1:16">
      <c r="A106" s="34" t="s">
        <v>300</v>
      </c>
      <c r="B106" s="63" t="s">
        <v>179</v>
      </c>
      <c r="C106" s="40"/>
      <c r="D106" s="34" t="s">
        <v>139</v>
      </c>
      <c r="E106" s="40" t="s">
        <v>139</v>
      </c>
      <c r="F106" s="55" t="s">
        <v>150</v>
      </c>
      <c r="G106" s="168">
        <v>1</v>
      </c>
      <c r="H106" s="34" t="s">
        <v>301</v>
      </c>
      <c r="I106" s="251"/>
      <c r="J106" s="66"/>
      <c r="K106" s="66"/>
      <c r="L106" s="66"/>
      <c r="M106" s="66"/>
      <c r="N106" s="295"/>
      <c r="O106" s="177" t="str">
        <f t="shared" si="7"/>
        <v/>
      </c>
      <c r="P106" s="34"/>
    </row>
    <row r="107" spans="1:16">
      <c r="A107" s="34" t="s">
        <v>300</v>
      </c>
      <c r="B107" s="63" t="s">
        <v>232</v>
      </c>
      <c r="C107" s="40">
        <v>2020</v>
      </c>
      <c r="D107" s="34" t="s">
        <v>139</v>
      </c>
      <c r="E107" s="40" t="s">
        <v>139</v>
      </c>
      <c r="F107" s="55">
        <v>0.05</v>
      </c>
      <c r="G107" s="168">
        <v>2</v>
      </c>
      <c r="H107" s="34" t="s">
        <v>392</v>
      </c>
      <c r="I107" s="172">
        <v>1</v>
      </c>
      <c r="J107" s="10">
        <v>2</v>
      </c>
      <c r="K107" s="10">
        <v>1</v>
      </c>
      <c r="L107" s="10">
        <v>2</v>
      </c>
      <c r="M107" s="10">
        <v>2</v>
      </c>
      <c r="N107" s="10">
        <v>4</v>
      </c>
      <c r="O107" s="177">
        <f t="shared" si="7"/>
        <v>1.8595776954264098</v>
      </c>
      <c r="P107" s="34"/>
    </row>
    <row r="108" spans="1:16">
      <c r="A108" s="34" t="s">
        <v>393</v>
      </c>
      <c r="B108" s="63" t="s">
        <v>377</v>
      </c>
      <c r="C108" s="40">
        <v>2014</v>
      </c>
      <c r="D108" s="34" t="s">
        <v>180</v>
      </c>
      <c r="E108" s="40" t="s">
        <v>139</v>
      </c>
      <c r="F108" s="55" t="s">
        <v>150</v>
      </c>
      <c r="G108" s="168">
        <v>1</v>
      </c>
      <c r="H108" s="34" t="s">
        <v>380</v>
      </c>
      <c r="I108" s="172">
        <v>1</v>
      </c>
      <c r="J108" s="10">
        <v>2</v>
      </c>
      <c r="K108" s="10">
        <v>3</v>
      </c>
      <c r="L108" s="10">
        <v>1</v>
      </c>
      <c r="M108" s="10">
        <v>2</v>
      </c>
      <c r="N108" s="10">
        <v>1</v>
      </c>
      <c r="O108" s="177">
        <f t="shared" si="7"/>
        <v>0.36299901822375763</v>
      </c>
      <c r="P108" s="34"/>
    </row>
    <row r="109" spans="1:16">
      <c r="A109" s="34" t="s">
        <v>393</v>
      </c>
      <c r="B109" s="63" t="s">
        <v>258</v>
      </c>
      <c r="C109" s="40">
        <v>2014</v>
      </c>
      <c r="D109" s="34" t="s">
        <v>180</v>
      </c>
      <c r="E109" s="40" t="s">
        <v>139</v>
      </c>
      <c r="F109" s="55">
        <v>0.255</v>
      </c>
      <c r="G109" s="168">
        <v>2</v>
      </c>
      <c r="H109" s="34" t="s">
        <v>380</v>
      </c>
      <c r="I109" s="172">
        <v>1</v>
      </c>
      <c r="J109" s="10">
        <v>2</v>
      </c>
      <c r="K109" s="10">
        <v>3</v>
      </c>
      <c r="L109" s="10">
        <v>1</v>
      </c>
      <c r="M109" s="10">
        <v>2</v>
      </c>
      <c r="N109" s="10">
        <v>1</v>
      </c>
      <c r="O109" s="177">
        <f t="shared" si="7"/>
        <v>0.36299901822375763</v>
      </c>
      <c r="P109" s="34"/>
    </row>
    <row r="110" spans="1:16">
      <c r="A110" s="34" t="s">
        <v>393</v>
      </c>
      <c r="B110" s="63" t="s">
        <v>232</v>
      </c>
      <c r="C110" s="40">
        <v>2014</v>
      </c>
      <c r="D110" s="34" t="s">
        <v>180</v>
      </c>
      <c r="E110" s="40" t="s">
        <v>139</v>
      </c>
      <c r="F110" s="55">
        <f>0.526*0.66</f>
        <v>0.34716000000000002</v>
      </c>
      <c r="G110" s="168">
        <v>2</v>
      </c>
      <c r="H110" s="34" t="s">
        <v>380</v>
      </c>
      <c r="I110" s="172">
        <v>1</v>
      </c>
      <c r="J110" s="10">
        <v>2</v>
      </c>
      <c r="K110" s="10">
        <v>3</v>
      </c>
      <c r="L110" s="10">
        <v>1</v>
      </c>
      <c r="M110" s="10">
        <v>2</v>
      </c>
      <c r="N110" s="10">
        <v>1</v>
      </c>
      <c r="O110" s="177">
        <f t="shared" si="7"/>
        <v>0.36299901822375763</v>
      </c>
      <c r="P110" s="34" t="s">
        <v>793</v>
      </c>
    </row>
    <row r="111" spans="1:16" ht="15" thickBot="1">
      <c r="A111" s="35" t="s">
        <v>393</v>
      </c>
      <c r="B111" s="62" t="s">
        <v>266</v>
      </c>
      <c r="C111" s="41">
        <v>2014</v>
      </c>
      <c r="D111" s="35" t="s">
        <v>180</v>
      </c>
      <c r="E111" s="41" t="s">
        <v>139</v>
      </c>
      <c r="F111" s="56">
        <f>0.526*0.34</f>
        <v>0.17884000000000003</v>
      </c>
      <c r="G111" s="169">
        <v>2</v>
      </c>
      <c r="H111" s="35" t="s">
        <v>380</v>
      </c>
      <c r="I111" s="173">
        <v>1</v>
      </c>
      <c r="J111" s="14">
        <v>2</v>
      </c>
      <c r="K111" s="14">
        <v>3</v>
      </c>
      <c r="L111" s="14">
        <v>1</v>
      </c>
      <c r="M111" s="14">
        <v>2</v>
      </c>
      <c r="N111" s="14">
        <v>1</v>
      </c>
      <c r="O111" s="178">
        <f t="shared" si="7"/>
        <v>0.36299901822375763</v>
      </c>
      <c r="P111" s="35" t="s">
        <v>794</v>
      </c>
    </row>
    <row r="114" spans="1:17">
      <c r="A114" s="1071" t="s">
        <v>2001</v>
      </c>
      <c r="B114" s="1071"/>
      <c r="C114" s="1071"/>
      <c r="D114" s="1071"/>
      <c r="E114" s="1071"/>
      <c r="F114" s="1071"/>
      <c r="G114" s="1071"/>
      <c r="H114" s="1071"/>
      <c r="I114" s="1071"/>
      <c r="J114" s="1071"/>
      <c r="K114" s="1071"/>
      <c r="L114" s="1071"/>
      <c r="M114" s="1071"/>
      <c r="N114" s="1071"/>
      <c r="O114" s="1071"/>
      <c r="P114" s="1071"/>
      <c r="Q114" s="1071"/>
    </row>
    <row r="115" spans="1:17">
      <c r="A115" s="1071"/>
      <c r="B115" s="1071"/>
      <c r="C115" s="1071"/>
      <c r="D115" s="1071"/>
      <c r="E115" s="1071"/>
      <c r="F115" s="1071"/>
      <c r="G115" s="1071"/>
      <c r="H115" s="1071"/>
      <c r="I115" s="1071"/>
      <c r="J115" s="1071"/>
      <c r="K115" s="1071"/>
      <c r="L115" s="1071"/>
      <c r="M115" s="1071"/>
      <c r="N115" s="1071"/>
      <c r="O115" s="1071"/>
      <c r="P115" s="1071"/>
      <c r="Q115" s="1071"/>
    </row>
    <row r="117" spans="1:17">
      <c r="A117" s="117" t="s">
        <v>764</v>
      </c>
      <c r="B117" s="117"/>
      <c r="C117" s="117"/>
      <c r="D117" s="117"/>
      <c r="E117" s="117"/>
      <c r="F117" s="117"/>
    </row>
    <row r="118" spans="1:17">
      <c r="A118" s="224" t="s">
        <v>765</v>
      </c>
      <c r="B118" s="224" t="s">
        <v>766</v>
      </c>
      <c r="C118" s="224" t="s">
        <v>767</v>
      </c>
      <c r="D118" s="224" t="s">
        <v>768</v>
      </c>
      <c r="E118" s="224" t="s">
        <v>769</v>
      </c>
      <c r="F118" s="224" t="s">
        <v>770</v>
      </c>
    </row>
    <row r="119" spans="1:17">
      <c r="A119" s="224">
        <v>1990</v>
      </c>
      <c r="B119" s="224" t="s">
        <v>772</v>
      </c>
      <c r="C119" s="867">
        <v>9795.9110544217692</v>
      </c>
      <c r="D119" s="224" t="s">
        <v>773</v>
      </c>
      <c r="E119" s="868">
        <v>3605.0184353741402</v>
      </c>
      <c r="F119" s="868">
        <v>0.36801257334271897</v>
      </c>
    </row>
    <row r="120" spans="1:17">
      <c r="A120" s="224">
        <v>1990</v>
      </c>
      <c r="B120" s="224" t="s">
        <v>772</v>
      </c>
      <c r="C120" s="867">
        <v>14048.77</v>
      </c>
      <c r="D120" s="224" t="s">
        <v>775</v>
      </c>
      <c r="E120" s="224">
        <v>5170.1239999999998</v>
      </c>
      <c r="F120" s="868">
        <v>0.36801257334271897</v>
      </c>
    </row>
    <row r="121" spans="1:17">
      <c r="A121" s="224">
        <v>1990</v>
      </c>
      <c r="B121" s="224" t="s">
        <v>772</v>
      </c>
      <c r="C121" s="869">
        <v>18038.811819727802</v>
      </c>
      <c r="D121" s="224" t="s">
        <v>776</v>
      </c>
      <c r="E121" s="868">
        <v>6638.5095578231203</v>
      </c>
      <c r="F121" s="868">
        <v>0.36801257334271897</v>
      </c>
    </row>
    <row r="122" spans="1:17">
      <c r="A122" s="224">
        <v>1990</v>
      </c>
      <c r="B122" s="224" t="s">
        <v>777</v>
      </c>
      <c r="C122" s="867">
        <v>9795.9110544217692</v>
      </c>
      <c r="D122" s="224" t="s">
        <v>773</v>
      </c>
      <c r="E122" s="868">
        <v>3470.8689455782301</v>
      </c>
      <c r="F122" s="868">
        <v>0.35431813603610801</v>
      </c>
    </row>
    <row r="123" spans="1:17">
      <c r="A123" s="224">
        <v>1990</v>
      </c>
      <c r="B123" s="224" t="s">
        <v>777</v>
      </c>
      <c r="C123" s="867">
        <v>14048.77</v>
      </c>
      <c r="D123" s="224" t="s">
        <v>775</v>
      </c>
      <c r="E123" s="224">
        <v>4977.7340000000004</v>
      </c>
      <c r="F123" s="868">
        <v>0.35431813603610801</v>
      </c>
    </row>
    <row r="124" spans="1:17">
      <c r="A124" s="224">
        <v>1990</v>
      </c>
      <c r="B124" s="224" t="s">
        <v>777</v>
      </c>
      <c r="C124" s="869">
        <v>18038.811819727802</v>
      </c>
      <c r="D124" s="224" t="s">
        <v>776</v>
      </c>
      <c r="E124" s="868">
        <v>6391.4781802721</v>
      </c>
      <c r="F124" s="868">
        <v>0.35431813603610801</v>
      </c>
    </row>
    <row r="125" spans="1:17">
      <c r="A125" s="224">
        <v>1990</v>
      </c>
      <c r="B125" s="224" t="s">
        <v>778</v>
      </c>
      <c r="C125" s="867">
        <v>9795.9110544217692</v>
      </c>
      <c r="D125" s="224" t="s">
        <v>773</v>
      </c>
      <c r="E125" s="868">
        <v>2720.0236734693799</v>
      </c>
      <c r="F125" s="868">
        <v>0.27766929062117102</v>
      </c>
    </row>
    <row r="126" spans="1:17">
      <c r="A126" s="224">
        <v>1990</v>
      </c>
      <c r="B126" s="224" t="s">
        <v>778</v>
      </c>
      <c r="C126" s="867">
        <v>14048.77</v>
      </c>
      <c r="D126" s="224" t="s">
        <v>775</v>
      </c>
      <c r="E126" s="224">
        <v>3900.9119999999998</v>
      </c>
      <c r="F126" s="868">
        <v>0.27766929062117102</v>
      </c>
    </row>
    <row r="127" spans="1:17">
      <c r="A127" s="224">
        <v>1990</v>
      </c>
      <c r="B127" s="224" t="s">
        <v>778</v>
      </c>
      <c r="C127" s="869">
        <v>18038.811819727802</v>
      </c>
      <c r="D127" s="224" t="s">
        <v>776</v>
      </c>
      <c r="E127" s="868">
        <v>5008.8240816326497</v>
      </c>
      <c r="F127" s="868">
        <v>0.27766929062117102</v>
      </c>
    </row>
    <row r="128" spans="1:17">
      <c r="A128" s="224">
        <v>1995</v>
      </c>
      <c r="B128" s="224" t="s">
        <v>772</v>
      </c>
      <c r="C128" s="869">
        <v>10531.2160714285</v>
      </c>
      <c r="D128" s="224" t="s">
        <v>773</v>
      </c>
      <c r="E128" s="868">
        <v>4567.2933163265297</v>
      </c>
      <c r="F128" s="868">
        <v>0.43369097028762899</v>
      </c>
    </row>
    <row r="129" spans="1:6">
      <c r="A129" s="224">
        <v>1995</v>
      </c>
      <c r="B129" s="224" t="s">
        <v>772</v>
      </c>
      <c r="C129" s="867">
        <v>15103.305</v>
      </c>
      <c r="D129" s="224" t="s">
        <v>775</v>
      </c>
      <c r="E129" s="224">
        <v>6550.1670000000004</v>
      </c>
      <c r="F129" s="868">
        <v>0.43369097028762899</v>
      </c>
    </row>
    <row r="130" spans="1:6">
      <c r="A130" s="224">
        <v>1995</v>
      </c>
      <c r="B130" s="224" t="s">
        <v>772</v>
      </c>
      <c r="C130" s="869">
        <v>19392.8491071428</v>
      </c>
      <c r="D130" s="224" t="s">
        <v>776</v>
      </c>
      <c r="E130" s="868">
        <v>8410.50354591836</v>
      </c>
      <c r="F130" s="868">
        <v>0.43369097028762899</v>
      </c>
    </row>
    <row r="131" spans="1:6">
      <c r="A131" s="224">
        <v>1995</v>
      </c>
      <c r="B131" s="224" t="s">
        <v>777</v>
      </c>
      <c r="C131" s="869">
        <v>10531.2160714285</v>
      </c>
      <c r="D131" s="224" t="s">
        <v>773</v>
      </c>
      <c r="E131" s="868">
        <v>3200.3805102040801</v>
      </c>
      <c r="F131" s="224">
        <v>0.30389467735704201</v>
      </c>
    </row>
    <row r="132" spans="1:6">
      <c r="A132" s="224">
        <v>1995</v>
      </c>
      <c r="B132" s="224" t="s">
        <v>777</v>
      </c>
      <c r="C132" s="867">
        <v>15103.305</v>
      </c>
      <c r="D132" s="224" t="s">
        <v>775</v>
      </c>
      <c r="E132" s="868">
        <v>4589.8139999999903</v>
      </c>
      <c r="F132" s="224">
        <v>0.30389467735704201</v>
      </c>
    </row>
    <row r="133" spans="1:6">
      <c r="A133" s="224">
        <v>1995</v>
      </c>
      <c r="B133" s="224" t="s">
        <v>777</v>
      </c>
      <c r="C133" s="869">
        <v>19392.8491071428</v>
      </c>
      <c r="D133" s="224" t="s">
        <v>776</v>
      </c>
      <c r="E133" s="224">
        <v>5893.3836224489796</v>
      </c>
      <c r="F133" s="868">
        <v>0.30389467735704201</v>
      </c>
    </row>
    <row r="134" spans="1:6">
      <c r="A134" s="224">
        <v>1995</v>
      </c>
      <c r="B134" s="224" t="s">
        <v>778</v>
      </c>
      <c r="C134" s="869">
        <v>10531.2160714285</v>
      </c>
      <c r="D134" s="224" t="s">
        <v>773</v>
      </c>
      <c r="E134" s="868">
        <v>2763.5422448979498</v>
      </c>
      <c r="F134" s="868">
        <v>0.26241435235532801</v>
      </c>
    </row>
    <row r="135" spans="1:6">
      <c r="A135" s="224">
        <v>1995</v>
      </c>
      <c r="B135" s="224" t="s">
        <v>778</v>
      </c>
      <c r="C135" s="867">
        <v>15103.305</v>
      </c>
      <c r="D135" s="224" t="s">
        <v>775</v>
      </c>
      <c r="E135" s="224">
        <v>3963.3240000000001</v>
      </c>
      <c r="F135" s="868">
        <v>0.26241435235532801</v>
      </c>
    </row>
    <row r="136" spans="1:6">
      <c r="A136" s="224">
        <v>1995</v>
      </c>
      <c r="B136" s="224" t="s">
        <v>778</v>
      </c>
      <c r="C136" s="869">
        <v>19392.8491071428</v>
      </c>
      <c r="D136" s="224" t="s">
        <v>776</v>
      </c>
      <c r="E136" s="224">
        <v>5088.9619387755101</v>
      </c>
      <c r="F136" s="868">
        <v>0.26241435235532801</v>
      </c>
    </row>
    <row r="137" spans="1:6">
      <c r="A137" s="224">
        <v>2000</v>
      </c>
      <c r="B137" s="224" t="s">
        <v>772</v>
      </c>
      <c r="C137" s="869">
        <v>11700.245306122401</v>
      </c>
      <c r="D137" s="224" t="s">
        <v>773</v>
      </c>
      <c r="E137" s="868">
        <v>6023.5603231292498</v>
      </c>
      <c r="F137" s="224">
        <v>0.51482342169161799</v>
      </c>
    </row>
    <row r="138" spans="1:6">
      <c r="A138" s="224">
        <v>2000</v>
      </c>
      <c r="B138" s="224" t="s">
        <v>772</v>
      </c>
      <c r="C138" s="869">
        <v>16779.8639999999</v>
      </c>
      <c r="D138" s="224" t="s">
        <v>775</v>
      </c>
      <c r="E138" s="224">
        <v>8638.6669999999995</v>
      </c>
      <c r="F138" s="224">
        <v>0.51482342169161799</v>
      </c>
    </row>
    <row r="139" spans="1:6">
      <c r="A139" s="224">
        <v>2000</v>
      </c>
      <c r="B139" s="224" t="s">
        <v>772</v>
      </c>
      <c r="C139" s="869">
        <v>21545.573673469298</v>
      </c>
      <c r="D139" s="224" t="s">
        <v>776</v>
      </c>
      <c r="E139" s="868">
        <v>11092.1659608843</v>
      </c>
      <c r="F139" s="868">
        <v>0.51482342169161699</v>
      </c>
    </row>
    <row r="140" spans="1:6">
      <c r="A140" s="224">
        <v>2000</v>
      </c>
      <c r="B140" s="224" t="s">
        <v>777</v>
      </c>
      <c r="C140" s="869">
        <v>11700.245306122401</v>
      </c>
      <c r="D140" s="224" t="s">
        <v>773</v>
      </c>
      <c r="E140" s="868">
        <v>2729.0597108843499</v>
      </c>
      <c r="F140" s="868">
        <v>0.23324807638488601</v>
      </c>
    </row>
    <row r="141" spans="1:6">
      <c r="A141" s="224">
        <v>2000</v>
      </c>
      <c r="B141" s="224" t="s">
        <v>777</v>
      </c>
      <c r="C141" s="869">
        <v>16779.8639999999</v>
      </c>
      <c r="D141" s="224" t="s">
        <v>775</v>
      </c>
      <c r="E141" s="224">
        <v>3913.8710000000001</v>
      </c>
      <c r="F141" s="868">
        <v>0.23324807638488601</v>
      </c>
    </row>
    <row r="142" spans="1:6">
      <c r="A142" s="224">
        <v>2000</v>
      </c>
      <c r="B142" s="224" t="s">
        <v>777</v>
      </c>
      <c r="C142" s="869">
        <v>21545.573673469298</v>
      </c>
      <c r="D142" s="224" t="s">
        <v>776</v>
      </c>
      <c r="E142" s="868">
        <v>5025.4636139455697</v>
      </c>
      <c r="F142" s="868">
        <v>0.23324807638488601</v>
      </c>
    </row>
    <row r="143" spans="1:6">
      <c r="A143" s="224">
        <v>2000</v>
      </c>
      <c r="B143" s="224" t="s">
        <v>778</v>
      </c>
      <c r="C143" s="869">
        <v>11700.245306122401</v>
      </c>
      <c r="D143" s="224" t="s">
        <v>773</v>
      </c>
      <c r="E143" s="868">
        <v>2947.6252721088399</v>
      </c>
      <c r="F143" s="224">
        <v>0.25192850192349597</v>
      </c>
    </row>
    <row r="144" spans="1:6">
      <c r="A144" s="224">
        <v>2000</v>
      </c>
      <c r="B144" s="224" t="s">
        <v>778</v>
      </c>
      <c r="C144" s="869">
        <v>16779.8639999999</v>
      </c>
      <c r="D144" s="224" t="s">
        <v>775</v>
      </c>
      <c r="E144" s="224">
        <v>4227.326</v>
      </c>
      <c r="F144" s="224">
        <v>0.25192850192349597</v>
      </c>
    </row>
    <row r="145" spans="1:6">
      <c r="A145" s="224">
        <v>2000</v>
      </c>
      <c r="B145" s="224" t="s">
        <v>778</v>
      </c>
      <c r="C145" s="869">
        <v>21545.573673469298</v>
      </c>
      <c r="D145" s="224" t="s">
        <v>776</v>
      </c>
      <c r="E145" s="868">
        <v>5427.9440986394502</v>
      </c>
      <c r="F145" s="868">
        <v>0.25192850192349497</v>
      </c>
    </row>
    <row r="146" spans="1:6">
      <c r="A146" s="224">
        <v>2005</v>
      </c>
      <c r="B146" s="224" t="s">
        <v>772</v>
      </c>
      <c r="C146" s="869">
        <v>12395.919778911501</v>
      </c>
      <c r="D146" s="224" t="s">
        <v>773</v>
      </c>
      <c r="E146" s="868">
        <v>6396.0460204081601</v>
      </c>
      <c r="F146" s="868">
        <v>0.51597994618272403</v>
      </c>
    </row>
    <row r="147" spans="1:6">
      <c r="A147" s="224">
        <v>2005</v>
      </c>
      <c r="B147" s="224" t="s">
        <v>772</v>
      </c>
      <c r="C147" s="867">
        <v>17777.562999999998</v>
      </c>
      <c r="D147" s="224" t="s">
        <v>775</v>
      </c>
      <c r="E147" s="224">
        <v>9172.866</v>
      </c>
      <c r="F147" s="868">
        <v>0.51597994618272403</v>
      </c>
    </row>
    <row r="148" spans="1:6">
      <c r="A148" s="224">
        <v>2005</v>
      </c>
      <c r="B148" s="224" t="s">
        <v>772</v>
      </c>
      <c r="C148" s="869">
        <v>22826.632763605401</v>
      </c>
      <c r="D148" s="224" t="s">
        <v>776</v>
      </c>
      <c r="E148" s="868">
        <v>11778.0847448979</v>
      </c>
      <c r="F148" s="868">
        <v>0.51597994618272403</v>
      </c>
    </row>
    <row r="149" spans="1:6">
      <c r="A149" s="224">
        <v>2005</v>
      </c>
      <c r="B149" s="224" t="s">
        <v>777</v>
      </c>
      <c r="C149" s="869">
        <v>12395.919778911501</v>
      </c>
      <c r="D149" s="224" t="s">
        <v>773</v>
      </c>
      <c r="E149" s="868">
        <v>2854.1864115646199</v>
      </c>
      <c r="F149" s="868">
        <v>0.23025208798303701</v>
      </c>
    </row>
    <row r="150" spans="1:6">
      <c r="A150" s="224">
        <v>2005</v>
      </c>
      <c r="B150" s="224" t="s">
        <v>777</v>
      </c>
      <c r="C150" s="867">
        <v>17777.562999999998</v>
      </c>
      <c r="D150" s="224" t="s">
        <v>775</v>
      </c>
      <c r="E150" s="224">
        <v>4093.3209999999999</v>
      </c>
      <c r="F150" s="868">
        <v>0.23025208798303701</v>
      </c>
    </row>
    <row r="151" spans="1:6">
      <c r="A151" s="224">
        <v>2005</v>
      </c>
      <c r="B151" s="224" t="s">
        <v>777</v>
      </c>
      <c r="C151" s="869">
        <v>22826.632763605401</v>
      </c>
      <c r="D151" s="224" t="s">
        <v>776</v>
      </c>
      <c r="E151" s="868">
        <v>5255.8798554421701</v>
      </c>
      <c r="F151" s="868">
        <v>0.23025208798303701</v>
      </c>
    </row>
    <row r="152" spans="1:6">
      <c r="A152" s="224">
        <v>2005</v>
      </c>
      <c r="B152" s="224" t="s">
        <v>778</v>
      </c>
      <c r="C152" s="869">
        <v>12395.919778911501</v>
      </c>
      <c r="D152" s="224" t="s">
        <v>773</v>
      </c>
      <c r="E152" s="868">
        <v>3145.6873469387701</v>
      </c>
      <c r="F152" s="868">
        <v>0.253767965834237</v>
      </c>
    </row>
    <row r="153" spans="1:6">
      <c r="A153" s="224">
        <v>2005</v>
      </c>
      <c r="B153" s="224" t="s">
        <v>778</v>
      </c>
      <c r="C153" s="867">
        <v>17777.562999999998</v>
      </c>
      <c r="D153" s="224" t="s">
        <v>775</v>
      </c>
      <c r="E153" s="224">
        <v>4511.3760000000002</v>
      </c>
      <c r="F153" s="868">
        <v>0.253767965834237</v>
      </c>
    </row>
    <row r="154" spans="1:6">
      <c r="A154" s="224">
        <v>2005</v>
      </c>
      <c r="B154" s="224" t="s">
        <v>778</v>
      </c>
      <c r="C154" s="869">
        <v>22826.632763605401</v>
      </c>
      <c r="D154" s="224" t="s">
        <v>776</v>
      </c>
      <c r="E154" s="868">
        <v>5792.6681632652999</v>
      </c>
      <c r="F154" s="868">
        <v>0.253767965834237</v>
      </c>
    </row>
    <row r="155" spans="1:6">
      <c r="A155" s="224">
        <v>2010</v>
      </c>
      <c r="B155" s="224" t="s">
        <v>772</v>
      </c>
      <c r="C155" s="869">
        <v>12581.2969557823</v>
      </c>
      <c r="D155" s="224" t="s">
        <v>773</v>
      </c>
      <c r="E155" s="868">
        <v>6475.2931632652999</v>
      </c>
      <c r="F155" s="224">
        <v>0.51467612488784698</v>
      </c>
    </row>
    <row r="156" spans="1:6">
      <c r="A156" s="224">
        <v>2010</v>
      </c>
      <c r="B156" s="224" t="s">
        <v>772</v>
      </c>
      <c r="C156" s="867">
        <v>18043.420999999998</v>
      </c>
      <c r="D156" s="224" t="s">
        <v>775</v>
      </c>
      <c r="E156" s="224">
        <v>9286.518</v>
      </c>
      <c r="F156" s="224">
        <v>0.51467612488784698</v>
      </c>
    </row>
    <row r="157" spans="1:6">
      <c r="A157" s="224">
        <v>2010</v>
      </c>
      <c r="B157" s="224" t="s">
        <v>772</v>
      </c>
      <c r="C157" s="869">
        <v>23167.998052720999</v>
      </c>
      <c r="D157" s="224" t="s">
        <v>776</v>
      </c>
      <c r="E157" s="868">
        <v>11924.0154591836</v>
      </c>
      <c r="F157" s="868">
        <v>0.51467612488784598</v>
      </c>
    </row>
    <row r="158" spans="1:6">
      <c r="A158" s="224">
        <v>2010</v>
      </c>
      <c r="B158" s="224" t="s">
        <v>777</v>
      </c>
      <c r="C158" s="869">
        <v>12581.2969557823</v>
      </c>
      <c r="D158" s="224" t="s">
        <v>773</v>
      </c>
      <c r="E158" s="868">
        <v>2894.6230102040799</v>
      </c>
      <c r="F158" s="868">
        <v>0.230073498811561</v>
      </c>
    </row>
    <row r="159" spans="1:6">
      <c r="A159" s="224">
        <v>2010</v>
      </c>
      <c r="B159" s="224" t="s">
        <v>777</v>
      </c>
      <c r="C159" s="867">
        <v>18043.420999999998</v>
      </c>
      <c r="D159" s="224" t="s">
        <v>775</v>
      </c>
      <c r="E159" s="224">
        <v>4151.3130000000001</v>
      </c>
      <c r="F159" s="868">
        <v>0.230073498811561</v>
      </c>
    </row>
    <row r="160" spans="1:6">
      <c r="A160" s="224">
        <v>2010</v>
      </c>
      <c r="B160" s="224" t="s">
        <v>777</v>
      </c>
      <c r="C160" s="869">
        <v>23167.998052720999</v>
      </c>
      <c r="D160" s="224" t="s">
        <v>776</v>
      </c>
      <c r="E160" s="224">
        <v>5330.3423724489803</v>
      </c>
      <c r="F160" s="868">
        <v>0.230073498811561</v>
      </c>
    </row>
    <row r="161" spans="1:6">
      <c r="A161" s="224">
        <v>2010</v>
      </c>
      <c r="B161" s="224" t="s">
        <v>778</v>
      </c>
      <c r="C161" s="869">
        <v>12581.2969557823</v>
      </c>
      <c r="D161" s="224" t="s">
        <v>773</v>
      </c>
      <c r="E161" s="868">
        <v>3211.38078231292</v>
      </c>
      <c r="F161" s="868">
        <v>0.255250376300591</v>
      </c>
    </row>
    <row r="162" spans="1:6">
      <c r="A162" s="224">
        <v>2010</v>
      </c>
      <c r="B162" s="224" t="s">
        <v>778</v>
      </c>
      <c r="C162" s="867">
        <v>18043.420999999998</v>
      </c>
      <c r="D162" s="224" t="s">
        <v>775</v>
      </c>
      <c r="E162" s="224">
        <v>4605.59</v>
      </c>
      <c r="F162" s="868">
        <v>0.255250376300591</v>
      </c>
    </row>
    <row r="163" spans="1:6">
      <c r="A163" s="224">
        <v>2010</v>
      </c>
      <c r="B163" s="224" t="s">
        <v>778</v>
      </c>
      <c r="C163" s="869">
        <v>23167.998052720999</v>
      </c>
      <c r="D163" s="224" t="s">
        <v>776</v>
      </c>
      <c r="E163" s="868">
        <v>5913.6402210884298</v>
      </c>
      <c r="F163" s="868">
        <v>0.255250376300591</v>
      </c>
    </row>
    <row r="164" spans="1:6">
      <c r="A164" s="224">
        <v>2015</v>
      </c>
      <c r="B164" s="224" t="s">
        <v>772</v>
      </c>
      <c r="C164" s="869">
        <v>12711.9997959183</v>
      </c>
      <c r="D164" s="224" t="s">
        <v>773</v>
      </c>
      <c r="E164" s="868">
        <v>6532.1520748299299</v>
      </c>
      <c r="F164" s="868">
        <v>0.51385715699329204</v>
      </c>
    </row>
    <row r="165" spans="1:6">
      <c r="A165" s="224">
        <v>2015</v>
      </c>
      <c r="B165" s="224" t="s">
        <v>772</v>
      </c>
      <c r="C165" s="867">
        <v>18230.867999999999</v>
      </c>
      <c r="D165" s="224" t="s">
        <v>775</v>
      </c>
      <c r="E165" s="224">
        <v>9368.0619999999999</v>
      </c>
      <c r="F165" s="868">
        <v>0.51385715699329204</v>
      </c>
    </row>
    <row r="166" spans="1:6">
      <c r="A166" s="224">
        <v>2015</v>
      </c>
      <c r="B166" s="224" t="s">
        <v>772</v>
      </c>
      <c r="C166" s="869">
        <v>23408.6825510204</v>
      </c>
      <c r="D166" s="224" t="s">
        <v>776</v>
      </c>
      <c r="E166" s="868">
        <v>12028.7190646258</v>
      </c>
      <c r="F166" s="868">
        <v>0.51385715699329204</v>
      </c>
    </row>
    <row r="167" spans="1:6">
      <c r="A167" s="224">
        <v>2015</v>
      </c>
      <c r="B167" s="224" t="s">
        <v>777</v>
      </c>
      <c r="C167" s="869">
        <v>12711.9997959183</v>
      </c>
      <c r="D167" s="224" t="s">
        <v>773</v>
      </c>
      <c r="E167" s="868">
        <v>2919.1442176870701</v>
      </c>
      <c r="F167" s="868">
        <v>0.22963689935114401</v>
      </c>
    </row>
    <row r="168" spans="1:6">
      <c r="A168" s="224">
        <v>2015</v>
      </c>
      <c r="B168" s="224" t="s">
        <v>777</v>
      </c>
      <c r="C168" s="867">
        <v>18230.867999999999</v>
      </c>
      <c r="D168" s="224" t="s">
        <v>775</v>
      </c>
      <c r="E168" s="224">
        <v>4186.4799999999996</v>
      </c>
      <c r="F168" s="868">
        <v>0.22963689935114401</v>
      </c>
    </row>
    <row r="169" spans="1:6">
      <c r="A169" s="224">
        <v>2015</v>
      </c>
      <c r="B169" s="224" t="s">
        <v>777</v>
      </c>
      <c r="C169" s="869">
        <v>23408.6825510204</v>
      </c>
      <c r="D169" s="224" t="s">
        <v>776</v>
      </c>
      <c r="E169" s="868">
        <v>5375.49727891156</v>
      </c>
      <c r="F169" s="868">
        <v>0.22963689935114401</v>
      </c>
    </row>
    <row r="170" spans="1:6">
      <c r="A170" s="224">
        <v>2015</v>
      </c>
      <c r="B170" s="224" t="s">
        <v>778</v>
      </c>
      <c r="C170" s="869">
        <v>12711.9997959183</v>
      </c>
      <c r="D170" s="224" t="s">
        <v>773</v>
      </c>
      <c r="E170" s="868">
        <v>3260.7035034013602</v>
      </c>
      <c r="F170" s="868">
        <v>0.25650594365556201</v>
      </c>
    </row>
    <row r="171" spans="1:6">
      <c r="A171" s="224">
        <v>2015</v>
      </c>
      <c r="B171" s="224" t="s">
        <v>778</v>
      </c>
      <c r="C171" s="867">
        <v>18230.867999999999</v>
      </c>
      <c r="D171" s="224" t="s">
        <v>775</v>
      </c>
      <c r="E171" s="224">
        <v>4676.326</v>
      </c>
      <c r="F171" s="868">
        <v>0.25650594365556201</v>
      </c>
    </row>
    <row r="172" spans="1:6">
      <c r="A172" s="224">
        <v>2015</v>
      </c>
      <c r="B172" s="224" t="s">
        <v>778</v>
      </c>
      <c r="C172" s="869">
        <v>23408.6825510204</v>
      </c>
      <c r="D172" s="224" t="s">
        <v>776</v>
      </c>
      <c r="E172" s="868">
        <v>6004.4662074829903</v>
      </c>
      <c r="F172" s="868">
        <v>0.25650594365556201</v>
      </c>
    </row>
    <row r="173" spans="1:6">
      <c r="A173" s="224">
        <v>2019</v>
      </c>
      <c r="B173" s="224" t="s">
        <v>772</v>
      </c>
      <c r="C173" s="869">
        <v>13484.4244557823</v>
      </c>
      <c r="D173" s="224" t="s">
        <v>773</v>
      </c>
      <c r="E173" s="868">
        <v>6901.6436564625801</v>
      </c>
      <c r="F173" s="868">
        <v>0.51182337659973698</v>
      </c>
    </row>
    <row r="174" spans="1:6">
      <c r="A174" s="224">
        <v>2019</v>
      </c>
      <c r="B174" s="224" t="s">
        <v>772</v>
      </c>
      <c r="C174" s="867">
        <v>19338.637999999999</v>
      </c>
      <c r="D174" s="224" t="s">
        <v>775</v>
      </c>
      <c r="E174" s="224">
        <v>9897.9670000000006</v>
      </c>
      <c r="F174" s="868">
        <v>0.51182337659973698</v>
      </c>
    </row>
    <row r="175" spans="1:6">
      <c r="A175" s="224">
        <v>2019</v>
      </c>
      <c r="B175" s="224" t="s">
        <v>772</v>
      </c>
      <c r="C175" s="869">
        <v>24831.074302721001</v>
      </c>
      <c r="D175" s="224" t="s">
        <v>776</v>
      </c>
      <c r="E175" s="868">
        <v>12709.1242942176</v>
      </c>
      <c r="F175" s="868">
        <v>0.51182337659973698</v>
      </c>
    </row>
    <row r="176" spans="1:6">
      <c r="A176" s="224">
        <v>2019</v>
      </c>
      <c r="B176" s="224" t="s">
        <v>777</v>
      </c>
      <c r="C176" s="869">
        <v>13484.4244557823</v>
      </c>
      <c r="D176" s="224" t="s">
        <v>773</v>
      </c>
      <c r="E176" s="868">
        <v>3107.2547278911502</v>
      </c>
      <c r="F176" s="868">
        <v>0.23043287743428401</v>
      </c>
    </row>
    <row r="177" spans="1:6">
      <c r="A177" s="224">
        <v>2019</v>
      </c>
      <c r="B177" s="224" t="s">
        <v>777</v>
      </c>
      <c r="C177" s="867">
        <v>19338.637999999999</v>
      </c>
      <c r="D177" s="224" t="s">
        <v>775</v>
      </c>
      <c r="E177" s="224">
        <v>4456.2579999999998</v>
      </c>
      <c r="F177" s="868">
        <v>0.23043287743428401</v>
      </c>
    </row>
    <row r="178" spans="1:6">
      <c r="A178" s="224">
        <v>2019</v>
      </c>
      <c r="B178" s="224" t="s">
        <v>777</v>
      </c>
      <c r="C178" s="869">
        <v>24831.074302721001</v>
      </c>
      <c r="D178" s="224" t="s">
        <v>776</v>
      </c>
      <c r="E178" s="868">
        <v>5721.8959013605399</v>
      </c>
      <c r="F178" s="868">
        <v>0.23043287743428401</v>
      </c>
    </row>
    <row r="179" spans="1:6">
      <c r="A179" s="224">
        <v>2019</v>
      </c>
      <c r="B179" s="224" t="s">
        <v>778</v>
      </c>
      <c r="C179" s="869">
        <v>13484.4244557823</v>
      </c>
      <c r="D179" s="224" t="s">
        <v>773</v>
      </c>
      <c r="E179" s="868">
        <v>3475.52607142857</v>
      </c>
      <c r="F179" s="868">
        <v>0.25774374596597699</v>
      </c>
    </row>
    <row r="180" spans="1:6">
      <c r="A180" s="224">
        <v>2019</v>
      </c>
      <c r="B180" s="224" t="s">
        <v>778</v>
      </c>
      <c r="C180" s="867">
        <v>19338.637999999999</v>
      </c>
      <c r="D180" s="224" t="s">
        <v>775</v>
      </c>
      <c r="E180" s="868">
        <v>4984.4129999999996</v>
      </c>
      <c r="F180" s="868">
        <v>0.25774374596597699</v>
      </c>
    </row>
    <row r="181" spans="1:6">
      <c r="A181" s="224">
        <v>2019</v>
      </c>
      <c r="B181" s="224" t="s">
        <v>778</v>
      </c>
      <c r="C181" s="869">
        <v>24831.074302721001</v>
      </c>
      <c r="D181" s="224" t="s">
        <v>776</v>
      </c>
      <c r="E181" s="868">
        <v>6400.0541071428497</v>
      </c>
      <c r="F181" s="868">
        <v>0.25774374596597699</v>
      </c>
    </row>
    <row r="182" spans="1:6">
      <c r="A182" s="224">
        <v>2020</v>
      </c>
      <c r="B182" s="224" t="s">
        <v>772</v>
      </c>
      <c r="C182" s="869">
        <v>11683.7368280094</v>
      </c>
      <c r="D182" s="224" t="s">
        <v>773</v>
      </c>
      <c r="E182" s="868">
        <v>6118.5902748969302</v>
      </c>
      <c r="F182" s="868">
        <v>0.52368436271423302</v>
      </c>
    </row>
    <row r="183" spans="1:6">
      <c r="A183" s="224">
        <v>2020</v>
      </c>
      <c r="B183" s="224" t="s">
        <v>772</v>
      </c>
      <c r="C183" s="869">
        <v>16756.188426510998</v>
      </c>
      <c r="D183" s="224" t="s">
        <v>775</v>
      </c>
      <c r="E183" s="868">
        <v>8774.9538576570594</v>
      </c>
      <c r="F183" s="868">
        <v>0.52368436271423302</v>
      </c>
    </row>
    <row r="184" spans="1:6">
      <c r="A184" s="224">
        <v>2020</v>
      </c>
      <c r="B184" s="224" t="s">
        <v>772</v>
      </c>
      <c r="C184" s="869">
        <v>21515.173914992902</v>
      </c>
      <c r="D184" s="224" t="s">
        <v>776</v>
      </c>
      <c r="E184" s="868">
        <v>11267.160140358899</v>
      </c>
      <c r="F184" s="224">
        <v>0.52368436271423302</v>
      </c>
    </row>
    <row r="185" spans="1:6">
      <c r="A185" s="224">
        <v>2020</v>
      </c>
      <c r="B185" s="224" t="s">
        <v>777</v>
      </c>
      <c r="C185" s="869">
        <v>11683.7368280094</v>
      </c>
      <c r="D185" s="224" t="s">
        <v>773</v>
      </c>
      <c r="E185" s="868">
        <v>2584.5872312710599</v>
      </c>
      <c r="F185" s="868">
        <v>0.221212380021692</v>
      </c>
    </row>
    <row r="186" spans="1:6">
      <c r="A186" s="224">
        <v>2020</v>
      </c>
      <c r="B186" s="224" t="s">
        <v>777</v>
      </c>
      <c r="C186" s="869">
        <v>16756.188426510998</v>
      </c>
      <c r="D186" s="224" t="s">
        <v>775</v>
      </c>
      <c r="E186" s="868">
        <v>3706.6763219204599</v>
      </c>
      <c r="F186" s="868">
        <v>0.221212380021692</v>
      </c>
    </row>
    <row r="187" spans="1:6">
      <c r="A187" s="224">
        <v>2020</v>
      </c>
      <c r="B187" s="224" t="s">
        <v>777</v>
      </c>
      <c r="C187" s="869">
        <v>21515.173914992902</v>
      </c>
      <c r="D187" s="224" t="s">
        <v>776</v>
      </c>
      <c r="E187" s="868">
        <v>4759.4228283162302</v>
      </c>
      <c r="F187" s="868">
        <v>0.221212380021692</v>
      </c>
    </row>
    <row r="188" spans="1:6">
      <c r="A188" s="224">
        <v>2020</v>
      </c>
      <c r="B188" s="224" t="s">
        <v>778</v>
      </c>
      <c r="C188" s="869">
        <v>11683.7368280094</v>
      </c>
      <c r="D188" s="224" t="s">
        <v>773</v>
      </c>
      <c r="E188" s="868">
        <v>2980.5593218414201</v>
      </c>
      <c r="F188" s="868">
        <v>0.25510325726407401</v>
      </c>
    </row>
    <row r="189" spans="1:6">
      <c r="A189" s="224">
        <v>2020</v>
      </c>
      <c r="B189" s="224" t="s">
        <v>778</v>
      </c>
      <c r="C189" s="869">
        <v>16756.188426510998</v>
      </c>
      <c r="D189" s="224" t="s">
        <v>775</v>
      </c>
      <c r="E189" s="868">
        <v>4274.5582469335604</v>
      </c>
      <c r="F189" s="868">
        <v>0.25510325726407401</v>
      </c>
    </row>
    <row r="190" spans="1:6">
      <c r="A190" s="224">
        <v>2020</v>
      </c>
      <c r="B190" s="224" t="s">
        <v>778</v>
      </c>
      <c r="C190" s="869">
        <v>21515.173914992902</v>
      </c>
      <c r="D190" s="224" t="s">
        <v>776</v>
      </c>
      <c r="E190" s="868">
        <v>5488.5909463177504</v>
      </c>
      <c r="F190" s="868">
        <v>0.25510325726407401</v>
      </c>
    </row>
  </sheetData>
  <mergeCells count="2">
    <mergeCell ref="A114:Q115"/>
    <mergeCell ref="A2:Q3"/>
  </mergeCells>
  <conditionalFormatting sqref="G6:K13 G15:K22 G24:K32">
    <cfRule type="cellIs" dxfId="109"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dataBar" priority="7073">
      <dataBar>
        <cfvo type="min"/>
        <cfvo type="num" val="4"/>
        <color rgb="FFFFC000"/>
      </dataBar>
      <extLst>
        <ext xmlns:x14="http://schemas.microsoft.com/office/spreadsheetml/2009/9/main" uri="{B025F937-C7B1-47D3-B67F-A62EFF666E3E}">
          <x14:id>{ADB92FAB-58BB-4A44-BD27-F6CCA440A7CD}</x14:id>
        </ext>
      </extLst>
    </cfRule>
    <cfRule type="cellIs" dxfId="108" priority="7072" stopIfTrue="1" operator="notBetween">
      <formula>1</formula>
      <formula>4</formula>
    </cfRule>
  </conditionalFormatting>
  <conditionalFormatting sqref="I86">
    <cfRule type="containsBlanks" dxfId="107"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06"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05"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04" priority="5" stopIfTrue="1" operator="notBetween">
      <formula>1</formula>
      <formula>4</formula>
    </cfRule>
  </conditionalFormatting>
  <conditionalFormatting sqref="I86:N86">
    <cfRule type="cellIs" dxfId="103" priority="2" stopIfTrue="1" operator="notBetween">
      <formula>1</formula>
      <formula>4</formula>
    </cfRule>
  </conditionalFormatting>
  <conditionalFormatting sqref="I87:N87">
    <cfRule type="containsBlanks" dxfId="102"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101"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100"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99"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98"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97" priority="48">
      <formula>LEN(TRIM(I66))=0</formula>
    </cfRule>
  </conditionalFormatting>
  <conditionalFormatting sqref="I74:O81 I88:O93 I83 K83:O83 I84:O85 J86:O86 G6:L13 G15:L22 G24:L32 G37:L44 G46:L53 G55:L62 O86:O87">
    <cfRule type="containsBlanks" dxfId="96" priority="54">
      <formula>LEN(TRIM(G6))=0</formula>
    </cfRule>
  </conditionalFormatting>
  <conditionalFormatting sqref="I82:O82">
    <cfRule type="containsBlanks" dxfId="95" priority="22">
      <formula>LEN(TRIM(I82))=0</formula>
    </cfRule>
  </conditionalFormatting>
  <conditionalFormatting sqref="I94:O95">
    <cfRule type="containsBlanks" dxfId="94" priority="13">
      <formula>LEN(TRIM(I94))=0</formula>
    </cfRule>
  </conditionalFormatting>
  <conditionalFormatting sqref="I98:O98">
    <cfRule type="containsBlanks" dxfId="93" priority="10">
      <formula>LEN(TRIM(I98))=0</formula>
    </cfRule>
  </conditionalFormatting>
  <conditionalFormatting sqref="I99:O105">
    <cfRule type="containsBlanks" dxfId="92" priority="61">
      <formula>LEN(TRIM(I99))=0</formula>
    </cfRule>
  </conditionalFormatting>
  <conditionalFormatting sqref="I106:O111">
    <cfRule type="containsBlanks" dxfId="91" priority="7">
      <formula>LEN(TRIM(I106))=0</formula>
    </cfRule>
  </conditionalFormatting>
  <conditionalFormatting sqref="J83">
    <cfRule type="containsBlanks" dxfId="90"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89" priority="62" operator="containsText" text="Actual TC">
      <formula>NOT(ISERROR(SEARCH("Actual TC",M6)))</formula>
    </cfRule>
  </conditionalFormatting>
  <conditionalFormatting sqref="M37:M44">
    <cfRule type="containsText" dxfId="88" priority="57" operator="containsText" text="Actual TC">
      <formula>NOT(ISERROR(SEARCH("Actual TC",M37)))</formula>
    </cfRule>
  </conditionalFormatting>
  <conditionalFormatting sqref="M46:M53">
    <cfRule type="containsText" dxfId="87" priority="26" operator="containsText" text="Actual TC">
      <formula>NOT(ISERROR(SEARCH("Actual TC",M46)))</formula>
    </cfRule>
  </conditionalFormatting>
  <conditionalFormatting sqref="M55:M62">
    <cfRule type="containsText" dxfId="86"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85"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4.4"/>
  <cols>
    <col min="1" max="1" width="55.6640625" customWidth="1"/>
    <col min="2" max="2" width="45.33203125" customWidth="1"/>
    <col min="3" max="5" width="15.6640625" customWidth="1"/>
    <col min="6" max="6" width="10.6640625" style="6" customWidth="1"/>
    <col min="7" max="7" width="25.6640625" customWidth="1"/>
    <col min="8" max="15" width="10.6640625" hidden="1" customWidth="1"/>
    <col min="16" max="16" width="171.6640625" customWidth="1"/>
    <col min="18" max="18" width="14.109375" bestFit="1" customWidth="1"/>
  </cols>
  <sheetData>
    <row r="1" spans="1:19" s="6" customFormat="1" ht="30" customHeight="1">
      <c r="A1" s="1100" t="s">
        <v>797</v>
      </c>
      <c r="B1" s="1100"/>
      <c r="C1" s="1100"/>
      <c r="D1" s="1100"/>
      <c r="E1" s="1100"/>
      <c r="F1" s="1100"/>
      <c r="G1" s="1100"/>
      <c r="H1" s="1100"/>
      <c r="I1" s="1100"/>
      <c r="J1" s="1100"/>
      <c r="K1" s="1100"/>
      <c r="L1" s="1100"/>
      <c r="M1" s="1100"/>
      <c r="N1" s="1100"/>
      <c r="O1" s="1100"/>
      <c r="P1" s="1100"/>
      <c r="Q1" s="1100"/>
      <c r="R1" s="1100"/>
      <c r="S1" s="1100"/>
    </row>
    <row r="2" spans="1:19">
      <c r="A2" s="316" t="s">
        <v>798</v>
      </c>
      <c r="B2" s="316" t="s">
        <v>131</v>
      </c>
      <c r="C2" s="316" t="s">
        <v>101</v>
      </c>
      <c r="D2" s="316" t="s">
        <v>799</v>
      </c>
      <c r="E2" s="1151" t="s">
        <v>104</v>
      </c>
      <c r="F2" s="1152"/>
      <c r="G2" s="1152"/>
      <c r="H2" s="1152"/>
      <c r="I2" s="1152"/>
      <c r="J2" s="1152"/>
      <c r="K2" s="1152"/>
      <c r="L2" s="1152"/>
      <c r="M2" s="1152"/>
      <c r="N2" s="1152"/>
      <c r="O2" s="1152"/>
    </row>
    <row r="3" spans="1:19">
      <c r="A3" s="117" t="s">
        <v>800</v>
      </c>
      <c r="B3" s="117" t="s">
        <v>180</v>
      </c>
      <c r="C3" s="117">
        <v>2014</v>
      </c>
      <c r="D3" s="315">
        <v>161.19999999999999</v>
      </c>
      <c r="E3" s="1128" t="s">
        <v>801</v>
      </c>
      <c r="F3" s="1128"/>
      <c r="G3" s="1128"/>
      <c r="H3" s="1129" t="s">
        <v>802</v>
      </c>
      <c r="I3" s="1129"/>
      <c r="J3" s="1129"/>
      <c r="K3" s="1129"/>
      <c r="L3" s="1129"/>
      <c r="M3" s="1129"/>
      <c r="N3" s="1129"/>
      <c r="O3" s="1129"/>
    </row>
    <row r="4" spans="1:19">
      <c r="A4" s="117" t="s">
        <v>800</v>
      </c>
      <c r="B4" s="117" t="s">
        <v>180</v>
      </c>
      <c r="C4" s="117">
        <v>2015</v>
      </c>
      <c r="D4" s="315">
        <v>138.19999999999999</v>
      </c>
      <c r="E4" s="1128" t="s">
        <v>803</v>
      </c>
      <c r="F4" s="1128"/>
      <c r="G4" s="1128"/>
      <c r="H4" s="1130" t="s">
        <v>804</v>
      </c>
      <c r="I4" s="1130"/>
      <c r="J4" s="1130"/>
      <c r="K4" s="1130"/>
      <c r="L4" s="1130"/>
      <c r="M4" s="1130"/>
      <c r="N4" s="1130"/>
      <c r="O4" s="1130"/>
    </row>
    <row r="5" spans="1:19">
      <c r="A5" s="117" t="s">
        <v>800</v>
      </c>
      <c r="B5" s="117" t="s">
        <v>180</v>
      </c>
      <c r="C5" s="117">
        <v>2016</v>
      </c>
      <c r="D5" s="117">
        <v>110</v>
      </c>
      <c r="E5" s="1128" t="s">
        <v>803</v>
      </c>
      <c r="F5" s="1128"/>
      <c r="G5" s="1128"/>
      <c r="H5" s="1130" t="s">
        <v>804</v>
      </c>
      <c r="I5" s="1130"/>
      <c r="J5" s="1130"/>
      <c r="K5" s="1130"/>
      <c r="L5" s="1130"/>
      <c r="M5" s="1130"/>
      <c r="N5" s="1130"/>
      <c r="O5" s="1130"/>
    </row>
    <row r="6" spans="1:19">
      <c r="A6" s="117" t="s">
        <v>800</v>
      </c>
      <c r="B6" s="117" t="s">
        <v>180</v>
      </c>
      <c r="C6" s="117">
        <v>2017</v>
      </c>
      <c r="D6" s="117">
        <v>109.1</v>
      </c>
      <c r="E6" s="1128" t="s">
        <v>805</v>
      </c>
      <c r="F6" s="1128"/>
      <c r="G6" s="1128"/>
      <c r="H6" s="1130" t="s">
        <v>806</v>
      </c>
      <c r="I6" s="1130"/>
      <c r="J6" s="1130"/>
      <c r="K6" s="1130"/>
      <c r="L6" s="1130"/>
      <c r="M6" s="1130"/>
      <c r="N6" s="1130"/>
      <c r="O6" s="1130"/>
    </row>
    <row r="7" spans="1:19">
      <c r="A7" s="117" t="s">
        <v>800</v>
      </c>
      <c r="B7" s="117" t="s">
        <v>180</v>
      </c>
      <c r="C7" s="117">
        <v>2018</v>
      </c>
      <c r="D7" s="117">
        <v>108.2</v>
      </c>
      <c r="E7" s="1128" t="s">
        <v>805</v>
      </c>
      <c r="F7" s="1128"/>
      <c r="G7" s="1128"/>
      <c r="H7" s="1130" t="s">
        <v>806</v>
      </c>
      <c r="I7" s="1130"/>
      <c r="J7" s="1130"/>
      <c r="K7" s="1130"/>
      <c r="L7" s="1130"/>
      <c r="M7" s="1130"/>
      <c r="N7" s="1130"/>
      <c r="O7" s="1130"/>
    </row>
    <row r="8" spans="1:19">
      <c r="A8" s="117" t="s">
        <v>800</v>
      </c>
      <c r="B8" s="117" t="s">
        <v>180</v>
      </c>
      <c r="C8" s="117">
        <v>2019</v>
      </c>
      <c r="D8" s="117">
        <v>106.1</v>
      </c>
      <c r="E8" s="1128" t="s">
        <v>807</v>
      </c>
      <c r="F8" s="1128"/>
      <c r="G8" s="1128"/>
      <c r="H8" s="1130" t="s">
        <v>808</v>
      </c>
      <c r="I8" s="1130"/>
      <c r="J8" s="1130"/>
      <c r="K8" s="1130"/>
      <c r="L8" s="1130"/>
      <c r="M8" s="1130"/>
      <c r="N8" s="1130"/>
      <c r="O8" s="1130"/>
    </row>
    <row r="9" spans="1:19">
      <c r="A9" s="117" t="s">
        <v>800</v>
      </c>
      <c r="B9" s="117" t="s">
        <v>180</v>
      </c>
      <c r="C9" s="117">
        <v>2020</v>
      </c>
      <c r="D9" s="315">
        <v>112</v>
      </c>
      <c r="E9" s="1128" t="s">
        <v>809</v>
      </c>
      <c r="F9" s="1128"/>
      <c r="G9" s="1128"/>
      <c r="H9" s="1130" t="s">
        <v>810</v>
      </c>
      <c r="I9" s="1130"/>
      <c r="J9" s="1130"/>
      <c r="K9" s="1130"/>
      <c r="L9" s="1130"/>
      <c r="M9" s="1130"/>
      <c r="N9" s="1130"/>
      <c r="O9" s="1130"/>
    </row>
    <row r="10" spans="1:19">
      <c r="A10" s="117" t="s">
        <v>800</v>
      </c>
      <c r="B10" s="117" t="s">
        <v>180</v>
      </c>
      <c r="C10" s="117">
        <v>2021</v>
      </c>
      <c r="D10" s="117">
        <v>109.5</v>
      </c>
      <c r="E10" s="1128" t="s">
        <v>809</v>
      </c>
      <c r="F10" s="1128"/>
      <c r="G10" s="1128"/>
      <c r="H10" s="1130" t="s">
        <v>810</v>
      </c>
      <c r="I10" s="1130"/>
      <c r="J10" s="1130"/>
      <c r="K10" s="1130"/>
      <c r="L10" s="1130"/>
      <c r="M10" s="1130"/>
      <c r="N10" s="1130"/>
      <c r="O10" s="1130"/>
    </row>
    <row r="11" spans="1:19">
      <c r="A11" s="117" t="s">
        <v>800</v>
      </c>
      <c r="B11" s="117" t="s">
        <v>180</v>
      </c>
      <c r="C11" s="117">
        <v>2022</v>
      </c>
      <c r="D11" s="117">
        <v>98.2</v>
      </c>
      <c r="E11" s="1128" t="s">
        <v>809</v>
      </c>
      <c r="F11" s="1128"/>
      <c r="G11" s="1128"/>
      <c r="H11" s="1130" t="s">
        <v>810</v>
      </c>
      <c r="I11" s="1130"/>
      <c r="J11" s="1130"/>
      <c r="K11" s="1130"/>
      <c r="L11" s="1130"/>
      <c r="M11" s="1130"/>
      <c r="N11" s="1130"/>
      <c r="O11" s="1130"/>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811</v>
      </c>
      <c r="D13" s="1142" t="s">
        <v>104</v>
      </c>
      <c r="E13" s="1142"/>
      <c r="F13" s="181" t="s">
        <v>812</v>
      </c>
      <c r="G13" s="622" t="s">
        <v>799</v>
      </c>
      <c r="H13" s="622" t="s">
        <v>799</v>
      </c>
      <c r="I13" s="622" t="s">
        <v>799</v>
      </c>
      <c r="J13" s="622" t="s">
        <v>799</v>
      </c>
      <c r="K13" s="622" t="s">
        <v>799</v>
      </c>
      <c r="L13" s="622" t="s">
        <v>799</v>
      </c>
      <c r="M13" s="622" t="s">
        <v>799</v>
      </c>
      <c r="N13" s="622" t="s">
        <v>799</v>
      </c>
    </row>
    <row r="14" spans="1:19">
      <c r="A14" s="224" t="s">
        <v>800</v>
      </c>
      <c r="B14" s="224" t="s">
        <v>813</v>
      </c>
      <c r="C14" s="310">
        <v>0.48</v>
      </c>
      <c r="D14" s="1140" t="s">
        <v>814</v>
      </c>
      <c r="E14" s="1141"/>
      <c r="F14" s="117" t="s">
        <v>815</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800</v>
      </c>
      <c r="B15" s="224" t="s">
        <v>816</v>
      </c>
      <c r="C15" s="310">
        <v>0.24</v>
      </c>
      <c r="D15" s="1140" t="s">
        <v>814</v>
      </c>
      <c r="E15" s="1141"/>
      <c r="F15" s="117" t="s">
        <v>815</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800</v>
      </c>
      <c r="B16" s="224" t="s">
        <v>817</v>
      </c>
      <c r="C16" s="310">
        <v>0.09</v>
      </c>
      <c r="D16" s="1140" t="s">
        <v>814</v>
      </c>
      <c r="E16" s="1141"/>
      <c r="F16" s="117" t="s">
        <v>815</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800</v>
      </c>
      <c r="B17" s="313" t="s">
        <v>818</v>
      </c>
      <c r="C17" s="620">
        <v>0.08</v>
      </c>
      <c r="D17" s="1149" t="s">
        <v>814</v>
      </c>
      <c r="E17" s="1150"/>
      <c r="F17" s="117" t="s">
        <v>819</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800</v>
      </c>
      <c r="B18" s="313" t="s">
        <v>820</v>
      </c>
      <c r="C18" s="620">
        <v>7.0000000000000007E-2</v>
      </c>
      <c r="D18" s="1149" t="s">
        <v>814</v>
      </c>
      <c r="E18" s="1150"/>
      <c r="F18" s="117" t="s">
        <v>819</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800</v>
      </c>
      <c r="B19" s="313" t="s">
        <v>821</v>
      </c>
      <c r="C19" s="620">
        <v>0.04</v>
      </c>
      <c r="D19" s="1149" t="s">
        <v>814</v>
      </c>
      <c r="E19" s="1150"/>
      <c r="F19" s="117" t="s">
        <v>819</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811</v>
      </c>
      <c r="D20" s="1142" t="s">
        <v>104</v>
      </c>
      <c r="E20" s="1142"/>
      <c r="F20" s="181" t="s">
        <v>812</v>
      </c>
      <c r="G20" s="623" t="s">
        <v>799</v>
      </c>
      <c r="H20" s="623" t="s">
        <v>799</v>
      </c>
      <c r="I20" s="623" t="s">
        <v>799</v>
      </c>
      <c r="J20" s="623" t="s">
        <v>799</v>
      </c>
      <c r="K20" s="623" t="s">
        <v>799</v>
      </c>
      <c r="L20" s="623" t="s">
        <v>799</v>
      </c>
      <c r="M20" s="623" t="s">
        <v>799</v>
      </c>
      <c r="N20" s="623" t="s">
        <v>799</v>
      </c>
    </row>
    <row r="21" spans="1:14">
      <c r="A21" s="224" t="s">
        <v>813</v>
      </c>
      <c r="B21" s="224" t="s">
        <v>428</v>
      </c>
      <c r="C21" s="619">
        <f>1/7</f>
        <v>0.14285714285714285</v>
      </c>
      <c r="D21" s="1143" t="s">
        <v>822</v>
      </c>
      <c r="E21" s="1144"/>
      <c r="F21" s="117" t="s">
        <v>815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813</v>
      </c>
      <c r="B22" s="224" t="s">
        <v>430</v>
      </c>
      <c r="C22" s="619">
        <f t="shared" ref="C22:C27" si="14">1/7</f>
        <v>0.14285714285714285</v>
      </c>
      <c r="D22" s="1145"/>
      <c r="E22" s="1146"/>
      <c r="F22" s="117" t="s">
        <v>815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813</v>
      </c>
      <c r="B23" s="224" t="s">
        <v>431</v>
      </c>
      <c r="C23" s="619">
        <f t="shared" si="14"/>
        <v>0.14285714285714285</v>
      </c>
      <c r="D23" s="1145"/>
      <c r="E23" s="1146"/>
      <c r="F23" s="117" t="s">
        <v>815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813</v>
      </c>
      <c r="B24" s="224" t="s">
        <v>432</v>
      </c>
      <c r="C24" s="619">
        <f t="shared" si="14"/>
        <v>0.14285714285714285</v>
      </c>
      <c r="D24" s="1145"/>
      <c r="E24" s="1146"/>
      <c r="F24" s="117" t="s">
        <v>815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813</v>
      </c>
      <c r="B25" s="224" t="s">
        <v>433</v>
      </c>
      <c r="C25" s="619">
        <f t="shared" si="14"/>
        <v>0.14285714285714285</v>
      </c>
      <c r="D25" s="1145"/>
      <c r="E25" s="1146"/>
      <c r="F25" s="117" t="s">
        <v>815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813</v>
      </c>
      <c r="B26" s="224" t="s">
        <v>434</v>
      </c>
      <c r="C26" s="619">
        <f t="shared" si="14"/>
        <v>0.14285714285714285</v>
      </c>
      <c r="D26" s="1145"/>
      <c r="E26" s="1146"/>
      <c r="F26" s="117" t="s">
        <v>815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813</v>
      </c>
      <c r="B27" s="224" t="s">
        <v>823</v>
      </c>
      <c r="C27" s="619">
        <f t="shared" si="14"/>
        <v>0.14285714285714285</v>
      </c>
      <c r="D27" s="1147"/>
      <c r="E27" s="1148"/>
      <c r="F27" s="117" t="s">
        <v>815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816</v>
      </c>
      <c r="B28" s="224" t="s">
        <v>436</v>
      </c>
      <c r="C28" s="130">
        <f>1/5</f>
        <v>0.2</v>
      </c>
      <c r="D28" s="1143" t="s">
        <v>822</v>
      </c>
      <c r="E28" s="1144"/>
      <c r="F28" s="117" t="s">
        <v>815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816</v>
      </c>
      <c r="B29" s="224" t="s">
        <v>437</v>
      </c>
      <c r="C29" s="130">
        <f t="shared" ref="C29:C32" si="17">1/5</f>
        <v>0.2</v>
      </c>
      <c r="D29" s="1145"/>
      <c r="E29" s="1146"/>
      <c r="F29" s="117" t="s">
        <v>815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816</v>
      </c>
      <c r="B30" s="224" t="s">
        <v>438</v>
      </c>
      <c r="C30" s="130">
        <f t="shared" si="17"/>
        <v>0.2</v>
      </c>
      <c r="D30" s="1145"/>
      <c r="E30" s="1146"/>
      <c r="F30" s="117" t="s">
        <v>815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816</v>
      </c>
      <c r="B31" s="224" t="s">
        <v>439</v>
      </c>
      <c r="C31" s="130">
        <f t="shared" si="17"/>
        <v>0.2</v>
      </c>
      <c r="D31" s="1145"/>
      <c r="E31" s="1146"/>
      <c r="F31" s="117" t="s">
        <v>815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816</v>
      </c>
      <c r="B32" s="224" t="s">
        <v>440</v>
      </c>
      <c r="C32" s="130">
        <f t="shared" si="17"/>
        <v>0.2</v>
      </c>
      <c r="D32" s="1147"/>
      <c r="E32" s="1148"/>
      <c r="F32" s="117" t="s">
        <v>815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817</v>
      </c>
      <c r="B33" s="224" t="s">
        <v>441</v>
      </c>
      <c r="C33" s="130">
        <v>0.5</v>
      </c>
      <c r="D33" s="1143" t="s">
        <v>822</v>
      </c>
      <c r="E33" s="1144"/>
      <c r="F33" s="117" t="s">
        <v>815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817</v>
      </c>
      <c r="B34" s="224" t="s">
        <v>442</v>
      </c>
      <c r="C34" s="130">
        <v>0.5</v>
      </c>
      <c r="D34" s="1147"/>
      <c r="E34" s="1148"/>
      <c r="F34" s="117" t="s">
        <v>815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811</v>
      </c>
      <c r="D35" s="1142" t="s">
        <v>104</v>
      </c>
      <c r="E35" s="1142"/>
      <c r="F35" s="181" t="s">
        <v>812</v>
      </c>
      <c r="G35" s="622" t="s">
        <v>824</v>
      </c>
      <c r="H35" s="622" t="s">
        <v>824</v>
      </c>
      <c r="I35" s="622" t="s">
        <v>824</v>
      </c>
      <c r="J35" s="622" t="s">
        <v>824</v>
      </c>
      <c r="K35" s="622" t="s">
        <v>824</v>
      </c>
      <c r="L35" s="622" t="s">
        <v>824</v>
      </c>
      <c r="M35" s="622" t="s">
        <v>824</v>
      </c>
      <c r="N35" s="622" t="s">
        <v>824</v>
      </c>
    </row>
    <row r="36" spans="1:19">
      <c r="A36" s="224" t="s">
        <v>428</v>
      </c>
      <c r="B36" s="224" t="s">
        <v>825</v>
      </c>
      <c r="C36" s="619">
        <v>0.75</v>
      </c>
      <c r="D36" s="1128" t="s">
        <v>826</v>
      </c>
      <c r="E36" s="1128"/>
      <c r="F36" s="117" t="s">
        <v>815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430</v>
      </c>
      <c r="B37" s="224" t="s">
        <v>827</v>
      </c>
      <c r="C37" s="619">
        <v>0.8</v>
      </c>
      <c r="D37" s="1128" t="s">
        <v>826</v>
      </c>
      <c r="E37" s="1128"/>
      <c r="F37" s="117" t="s">
        <v>815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431</v>
      </c>
      <c r="B38" s="224" t="s">
        <v>828</v>
      </c>
      <c r="C38" s="619">
        <v>0.5</v>
      </c>
      <c r="D38" s="1128" t="s">
        <v>826</v>
      </c>
      <c r="E38" s="1128"/>
      <c r="F38" s="117" t="s">
        <v>815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432</v>
      </c>
      <c r="B39" s="224" t="s">
        <v>829</v>
      </c>
      <c r="C39" s="619">
        <v>0.55000000000000004</v>
      </c>
      <c r="D39" s="1128" t="s">
        <v>826</v>
      </c>
      <c r="E39" s="1128"/>
      <c r="F39" s="117" t="s">
        <v>815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433</v>
      </c>
      <c r="B40" s="224" t="s">
        <v>830</v>
      </c>
      <c r="C40" s="619">
        <v>0.55000000000000004</v>
      </c>
      <c r="D40" s="1128" t="s">
        <v>826</v>
      </c>
      <c r="E40" s="1128"/>
      <c r="F40" s="117" t="s">
        <v>815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434</v>
      </c>
      <c r="B41" s="224" t="s">
        <v>831</v>
      </c>
      <c r="C41" s="619">
        <v>0.75</v>
      </c>
      <c r="D41" s="1128" t="s">
        <v>826</v>
      </c>
      <c r="E41" s="1128"/>
      <c r="F41" s="117" t="s">
        <v>815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823</v>
      </c>
      <c r="B42" s="224" t="s">
        <v>832</v>
      </c>
      <c r="C42" s="619">
        <v>0.6</v>
      </c>
      <c r="D42" s="1128" t="s">
        <v>826</v>
      </c>
      <c r="E42" s="1128"/>
      <c r="F42" s="117" t="s">
        <v>815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436</v>
      </c>
      <c r="B43" s="224" t="s">
        <v>833</v>
      </c>
      <c r="C43" s="130">
        <v>0.65</v>
      </c>
      <c r="D43" s="1128" t="s">
        <v>826</v>
      </c>
      <c r="E43" s="1128"/>
      <c r="F43" s="117" t="s">
        <v>815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437</v>
      </c>
      <c r="B44" s="224" t="s">
        <v>834</v>
      </c>
      <c r="C44" s="130">
        <v>0.2</v>
      </c>
      <c r="D44" s="1128" t="s">
        <v>826</v>
      </c>
      <c r="E44" s="1128"/>
      <c r="F44" s="117" t="s">
        <v>815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438</v>
      </c>
      <c r="B45" s="224" t="s">
        <v>835</v>
      </c>
      <c r="C45" s="130">
        <v>0.55000000000000004</v>
      </c>
      <c r="D45" s="1128" t="s">
        <v>826</v>
      </c>
      <c r="E45" s="1128"/>
      <c r="F45" s="117" t="s">
        <v>815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439</v>
      </c>
      <c r="B46" s="224" t="s">
        <v>836</v>
      </c>
      <c r="C46" s="130">
        <v>0.55000000000000004</v>
      </c>
      <c r="D46" s="1128" t="s">
        <v>826</v>
      </c>
      <c r="E46" s="1128"/>
      <c r="F46" s="117" t="s">
        <v>815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440</v>
      </c>
      <c r="B47" s="224" t="s">
        <v>837</v>
      </c>
      <c r="C47" s="130">
        <v>0.65</v>
      </c>
      <c r="D47" s="1128" t="s">
        <v>826</v>
      </c>
      <c r="E47" s="1128"/>
      <c r="F47" s="117" t="s">
        <v>815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441</v>
      </c>
      <c r="B48" s="224" t="s">
        <v>838</v>
      </c>
      <c r="C48" s="130">
        <v>0.5</v>
      </c>
      <c r="D48" s="1128" t="s">
        <v>826</v>
      </c>
      <c r="E48" s="1128"/>
      <c r="F48" s="117" t="s">
        <v>815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442</v>
      </c>
      <c r="B49" s="224" t="s">
        <v>839</v>
      </c>
      <c r="C49" s="130">
        <v>0.6</v>
      </c>
      <c r="D49" s="1128" t="s">
        <v>826</v>
      </c>
      <c r="E49" s="1128"/>
      <c r="F49" s="117" t="s">
        <v>815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137" t="s">
        <v>840</v>
      </c>
      <c r="B51" s="1138"/>
      <c r="C51" s="1138"/>
      <c r="D51" s="1138"/>
      <c r="E51" s="1138"/>
      <c r="F51" s="1138"/>
      <c r="G51" s="1139"/>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131" t="s">
        <v>107</v>
      </c>
      <c r="M52" s="1132"/>
      <c r="N52" s="1133"/>
      <c r="O52" s="6"/>
    </row>
    <row r="53" spans="1:868" s="2" customFormat="1">
      <c r="A53" s="224" t="s">
        <v>118</v>
      </c>
      <c r="B53" s="122">
        <v>2019</v>
      </c>
      <c r="C53" s="9" t="s">
        <v>99</v>
      </c>
      <c r="D53" s="794">
        <f>SUM(L36:L49)</f>
        <v>54.081600000000002</v>
      </c>
      <c r="E53" s="224" t="s">
        <v>801</v>
      </c>
      <c r="F53" s="9">
        <v>1</v>
      </c>
      <c r="G53" s="9">
        <v>1</v>
      </c>
      <c r="H53" s="9">
        <v>2</v>
      </c>
      <c r="I53" s="9">
        <v>1</v>
      </c>
      <c r="J53" s="9">
        <v>2</v>
      </c>
      <c r="K53" s="185">
        <f>IF( OR( ISBLANK(F53),ISBLANK(G53), ISBLANK(H53), ISBLANK(I53), ISBLANK(J53) ), "", 1.5*SQRT(   EXP(2.21*(F53-1)) + EXP(2.21*(G53-1)) + EXP(2.21*(H53-1)) + EXP(2.21*(I53-1)) + EXP(2.21*J53)   )/100*2.45 )</f>
        <v>0.35859414261160716</v>
      </c>
      <c r="L53" s="1134" t="s">
        <v>120</v>
      </c>
      <c r="M53" s="1135"/>
      <c r="N53" s="1136"/>
      <c r="O53" s="6"/>
    </row>
    <row r="54" spans="1:868" s="6" customFormat="1" ht="30" customHeight="1">
      <c r="C54" s="106"/>
      <c r="G54" s="106"/>
      <c r="H54" s="106"/>
      <c r="I54" s="106"/>
      <c r="J54" s="106"/>
      <c r="K54" s="106"/>
      <c r="L54" s="106"/>
      <c r="M54" s="106"/>
      <c r="N54" s="106"/>
    </row>
    <row r="55" spans="1:868" s="6" customFormat="1" ht="30" customHeight="1">
      <c r="A55" s="1137" t="s">
        <v>841</v>
      </c>
      <c r="B55" s="1138"/>
      <c r="C55" s="1138"/>
      <c r="D55" s="1138"/>
      <c r="E55" s="1138"/>
      <c r="F55" s="1138"/>
      <c r="G55" s="1139"/>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131" t="s">
        <v>107</v>
      </c>
      <c r="M56" s="1132"/>
      <c r="N56" s="1133"/>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134"/>
      <c r="M57" s="1135"/>
      <c r="N57" s="1136"/>
      <c r="O57" s="6"/>
    </row>
    <row r="58" spans="1:868">
      <c r="C58" s="106"/>
      <c r="D58" s="16"/>
      <c r="E58" s="16"/>
      <c r="G58" s="106"/>
    </row>
    <row r="59" spans="1:868" s="6" customFormat="1" ht="30" customHeight="1">
      <c r="A59" s="1100" t="s">
        <v>842</v>
      </c>
      <c r="B59" s="1100"/>
      <c r="C59" s="1100"/>
      <c r="D59" s="1100"/>
      <c r="E59" s="1100"/>
      <c r="F59" s="1100"/>
      <c r="G59" s="1100"/>
      <c r="H59" s="1100"/>
      <c r="I59" s="1100"/>
      <c r="J59" s="1100"/>
      <c r="K59" s="1100"/>
      <c r="L59" s="1100"/>
      <c r="M59" s="1100"/>
      <c r="N59" s="1100"/>
      <c r="O59" s="1100"/>
      <c r="P59" s="1100"/>
      <c r="Q59" s="1100"/>
      <c r="R59" s="1100"/>
      <c r="S59" s="1100"/>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428</v>
      </c>
      <c r="C61" s="33" t="s">
        <v>139</v>
      </c>
      <c r="D61" s="121" t="s">
        <v>99</v>
      </c>
      <c r="E61" s="745">
        <f t="shared" ref="E61:E74" si="22">(G36)/(SUM($G$36:$G$49))</f>
        <v>0.10650572468270171</v>
      </c>
      <c r="F61" s="11">
        <v>1</v>
      </c>
      <c r="G61" s="11" t="s">
        <v>429</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430</v>
      </c>
      <c r="C62" s="34" t="s">
        <v>139</v>
      </c>
      <c r="D62" s="122" t="s">
        <v>99</v>
      </c>
      <c r="E62" s="621">
        <f t="shared" si="22"/>
        <v>0.11360610632821515</v>
      </c>
      <c r="F62" s="9">
        <v>1</v>
      </c>
      <c r="G62" s="9" t="s">
        <v>429</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431</v>
      </c>
      <c r="C63" s="34" t="s">
        <v>139</v>
      </c>
      <c r="D63" s="122" t="s">
        <v>99</v>
      </c>
      <c r="E63" s="621">
        <f t="shared" si="22"/>
        <v>7.1003816455134469E-2</v>
      </c>
      <c r="F63" s="9">
        <v>1</v>
      </c>
      <c r="G63" s="9" t="s">
        <v>429</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432</v>
      </c>
      <c r="C64" s="34" t="s">
        <v>139</v>
      </c>
      <c r="D64" s="122" t="s">
        <v>99</v>
      </c>
      <c r="E64" s="621">
        <f t="shared" si="22"/>
        <v>7.810419810064792E-2</v>
      </c>
      <c r="F64" s="9">
        <v>1</v>
      </c>
      <c r="G64" s="9" t="s">
        <v>429</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433</v>
      </c>
      <c r="C65" s="34" t="s">
        <v>139</v>
      </c>
      <c r="D65" s="122" t="s">
        <v>99</v>
      </c>
      <c r="E65" s="621">
        <f t="shared" si="22"/>
        <v>7.810419810064792E-2</v>
      </c>
      <c r="F65" s="9">
        <v>1</v>
      </c>
      <c r="G65" s="9" t="s">
        <v>429</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434</v>
      </c>
      <c r="C66" s="34" t="s">
        <v>139</v>
      </c>
      <c r="D66" s="122" t="s">
        <v>99</v>
      </c>
      <c r="E66" s="621">
        <f t="shared" si="22"/>
        <v>0.10650572468270171</v>
      </c>
      <c r="F66" s="9">
        <v>1</v>
      </c>
      <c r="G66" s="9" t="s">
        <v>429</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435</v>
      </c>
      <c r="C67" s="34" t="s">
        <v>139</v>
      </c>
      <c r="D67" s="122" t="s">
        <v>99</v>
      </c>
      <c r="E67" s="621">
        <f t="shared" si="22"/>
        <v>8.5204579746161357E-2</v>
      </c>
      <c r="F67" s="9">
        <v>1</v>
      </c>
      <c r="G67" s="9" t="s">
        <v>429</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436</v>
      </c>
      <c r="C68" s="34" t="s">
        <v>139</v>
      </c>
      <c r="D68" s="122" t="s">
        <v>99</v>
      </c>
      <c r="E68" s="621">
        <f t="shared" si="22"/>
        <v>6.4613472974172373E-2</v>
      </c>
      <c r="F68" s="9">
        <v>1</v>
      </c>
      <c r="G68" s="9" t="s">
        <v>429</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437</v>
      </c>
      <c r="C69" s="34" t="s">
        <v>139</v>
      </c>
      <c r="D69" s="122" t="s">
        <v>99</v>
      </c>
      <c r="E69" s="621">
        <f t="shared" si="22"/>
        <v>1.9881068607437654E-2</v>
      </c>
      <c r="F69" s="9">
        <v>1</v>
      </c>
      <c r="G69" s="9" t="s">
        <v>429</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438</v>
      </c>
      <c r="C70" s="34" t="s">
        <v>139</v>
      </c>
      <c r="D70" s="122" t="s">
        <v>99</v>
      </c>
      <c r="E70" s="621">
        <f t="shared" si="22"/>
        <v>5.4672938670453558E-2</v>
      </c>
      <c r="F70" s="9">
        <v>1</v>
      </c>
      <c r="G70" s="9" t="s">
        <v>429</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439</v>
      </c>
      <c r="C71" s="34" t="s">
        <v>139</v>
      </c>
      <c r="D71" s="122" t="s">
        <v>99</v>
      </c>
      <c r="E71" s="621">
        <f t="shared" si="22"/>
        <v>5.4672938670453558E-2</v>
      </c>
      <c r="F71" s="9">
        <v>1</v>
      </c>
      <c r="G71" s="9" t="s">
        <v>429</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440</v>
      </c>
      <c r="C72" s="34" t="s">
        <v>139</v>
      </c>
      <c r="D72" s="122" t="s">
        <v>99</v>
      </c>
      <c r="E72" s="621">
        <f t="shared" si="22"/>
        <v>6.4613472974172373E-2</v>
      </c>
      <c r="F72" s="9">
        <v>1</v>
      </c>
      <c r="G72" s="9" t="s">
        <v>429</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441</v>
      </c>
      <c r="C73" s="34" t="s">
        <v>139</v>
      </c>
      <c r="D73" s="122" t="s">
        <v>99</v>
      </c>
      <c r="E73" s="621">
        <f t="shared" si="22"/>
        <v>4.6596254548681999E-2</v>
      </c>
      <c r="F73" s="9">
        <v>1</v>
      </c>
      <c r="G73" s="9" t="s">
        <v>429</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 thickBot="1">
      <c r="A74" s="635" t="s">
        <v>118</v>
      </c>
      <c r="B74" s="784" t="s">
        <v>442</v>
      </c>
      <c r="C74" s="34" t="s">
        <v>139</v>
      </c>
      <c r="D74" s="123" t="s">
        <v>99</v>
      </c>
      <c r="E74" s="748">
        <f t="shared" si="22"/>
        <v>5.5915505458418391E-2</v>
      </c>
      <c r="F74" s="12">
        <v>1</v>
      </c>
      <c r="G74" s="12" t="s">
        <v>429</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441</v>
      </c>
      <c r="B75" s="774" t="s">
        <v>443</v>
      </c>
      <c r="C75" s="34" t="s">
        <v>139</v>
      </c>
      <c r="D75" s="614" t="s">
        <v>99</v>
      </c>
      <c r="E75" s="744">
        <v>0.01</v>
      </c>
      <c r="F75" s="118">
        <v>2</v>
      </c>
      <c r="G75" s="118" t="s">
        <v>429</v>
      </c>
      <c r="H75" s="66">
        <v>1</v>
      </c>
      <c r="I75" s="66">
        <v>2</v>
      </c>
      <c r="J75" s="66">
        <v>2</v>
      </c>
      <c r="K75" s="66">
        <v>1</v>
      </c>
      <c r="L75" s="66">
        <v>1</v>
      </c>
      <c r="M75" s="66">
        <v>1</v>
      </c>
      <c r="N75" s="438">
        <f t="shared" si="25"/>
        <v>0.16933510251023262</v>
      </c>
      <c r="O75" s="438">
        <f t="shared" si="26"/>
        <v>0.19908580854301616</v>
      </c>
      <c r="P75" s="118" t="s">
        <v>843</v>
      </c>
    </row>
    <row r="76" spans="1:868" s="436" customFormat="1" ht="15" thickBot="1">
      <c r="A76" s="638" t="s">
        <v>441</v>
      </c>
      <c r="B76" s="775" t="s">
        <v>444</v>
      </c>
      <c r="C76" s="34" t="s">
        <v>139</v>
      </c>
      <c r="D76" s="124" t="s">
        <v>99</v>
      </c>
      <c r="E76" s="749" t="s">
        <v>150</v>
      </c>
      <c r="F76" s="119">
        <v>1</v>
      </c>
      <c r="G76" s="119" t="s">
        <v>429</v>
      </c>
      <c r="H76" s="15"/>
      <c r="I76" s="15"/>
      <c r="J76" s="15"/>
      <c r="K76" s="15"/>
      <c r="L76" s="15"/>
      <c r="M76" s="15"/>
      <c r="N76" s="424" t="str">
        <f t="shared" si="25"/>
        <v/>
      </c>
      <c r="O76" s="424" t="str">
        <f t="shared" si="26"/>
        <v/>
      </c>
      <c r="P76" s="119"/>
    </row>
    <row r="77" spans="1:868" s="436" customFormat="1" ht="15" thickBot="1">
      <c r="A77" s="633" t="s">
        <v>443</v>
      </c>
      <c r="B77" s="785" t="s">
        <v>258</v>
      </c>
      <c r="C77" s="34" t="s">
        <v>139</v>
      </c>
      <c r="D77" s="781" t="s">
        <v>99</v>
      </c>
      <c r="E77" s="751">
        <v>1</v>
      </c>
      <c r="F77" s="750">
        <v>2</v>
      </c>
      <c r="G77" s="750" t="s">
        <v>429</v>
      </c>
      <c r="H77" s="70">
        <v>1</v>
      </c>
      <c r="I77" s="70">
        <v>2</v>
      </c>
      <c r="J77" s="70">
        <v>2</v>
      </c>
      <c r="K77" s="70">
        <v>1</v>
      </c>
      <c r="L77" s="70">
        <v>1</v>
      </c>
      <c r="M77" s="70">
        <v>1</v>
      </c>
      <c r="N77" s="439">
        <f t="shared" si="25"/>
        <v>0.16933510251023262</v>
      </c>
      <c r="O77" s="439">
        <f t="shared" si="26"/>
        <v>0.19908580854301616</v>
      </c>
      <c r="P77" s="752" t="s">
        <v>844</v>
      </c>
    </row>
    <row r="78" spans="1:868" s="436" customFormat="1">
      <c r="A78" s="637" t="s">
        <v>442</v>
      </c>
      <c r="B78" s="774" t="s">
        <v>445</v>
      </c>
      <c r="C78" s="34" t="s">
        <v>139</v>
      </c>
      <c r="D78" s="614" t="s">
        <v>99</v>
      </c>
      <c r="E78" s="744">
        <v>0.01</v>
      </c>
      <c r="F78" s="118">
        <v>2</v>
      </c>
      <c r="G78" s="118" t="s">
        <v>429</v>
      </c>
      <c r="H78" s="66">
        <v>1</v>
      </c>
      <c r="I78" s="66">
        <v>2</v>
      </c>
      <c r="J78" s="66">
        <v>2</v>
      </c>
      <c r="K78" s="66">
        <v>1</v>
      </c>
      <c r="L78" s="66">
        <v>1</v>
      </c>
      <c r="M78" s="66">
        <v>1</v>
      </c>
      <c r="N78" s="438">
        <f t="shared" si="25"/>
        <v>0.16933510251023262</v>
      </c>
      <c r="O78" s="438">
        <f t="shared" si="26"/>
        <v>0.19908580854301616</v>
      </c>
      <c r="P78" s="118" t="s">
        <v>845</v>
      </c>
    </row>
    <row r="79" spans="1:868" s="436" customFormat="1" ht="15" thickBot="1">
      <c r="A79" s="638" t="s">
        <v>442</v>
      </c>
      <c r="B79" s="775" t="s">
        <v>446</v>
      </c>
      <c r="C79" s="34" t="s">
        <v>139</v>
      </c>
      <c r="D79" s="124" t="s">
        <v>99</v>
      </c>
      <c r="E79" s="749" t="s">
        <v>150</v>
      </c>
      <c r="F79" s="119">
        <v>1</v>
      </c>
      <c r="G79" s="119" t="s">
        <v>429</v>
      </c>
      <c r="H79" s="15"/>
      <c r="I79" s="15"/>
      <c r="J79" s="15"/>
      <c r="K79" s="15"/>
      <c r="L79" s="15"/>
      <c r="M79" s="15"/>
      <c r="N79" s="424" t="str">
        <f t="shared" si="25"/>
        <v/>
      </c>
      <c r="O79" s="424" t="str">
        <f t="shared" si="26"/>
        <v/>
      </c>
      <c r="P79" s="119"/>
    </row>
    <row r="80" spans="1:868" s="436" customFormat="1" ht="15" thickBot="1">
      <c r="A80" s="633" t="s">
        <v>445</v>
      </c>
      <c r="B80" s="785" t="s">
        <v>258</v>
      </c>
      <c r="C80" s="34" t="s">
        <v>139</v>
      </c>
      <c r="D80" s="781" t="s">
        <v>99</v>
      </c>
      <c r="E80" s="751">
        <v>1</v>
      </c>
      <c r="F80" s="750">
        <v>2</v>
      </c>
      <c r="G80" s="750" t="s">
        <v>429</v>
      </c>
      <c r="H80" s="70">
        <v>1</v>
      </c>
      <c r="I80" s="70">
        <v>2</v>
      </c>
      <c r="J80" s="70">
        <v>2</v>
      </c>
      <c r="K80" s="70">
        <v>1</v>
      </c>
      <c r="L80" s="70">
        <v>1</v>
      </c>
      <c r="M80" s="70">
        <v>1</v>
      </c>
      <c r="N80" s="439">
        <f t="shared" si="25"/>
        <v>0.16933510251023262</v>
      </c>
      <c r="O80" s="439">
        <f t="shared" si="26"/>
        <v>0.19908580854301616</v>
      </c>
      <c r="P80" s="752" t="s">
        <v>844</v>
      </c>
    </row>
    <row r="81" spans="1:18" s="436" customFormat="1">
      <c r="A81" s="637" t="s">
        <v>444</v>
      </c>
      <c r="B81" s="774" t="s">
        <v>258</v>
      </c>
      <c r="C81" s="34" t="s">
        <v>139</v>
      </c>
      <c r="D81" s="614" t="s">
        <v>99</v>
      </c>
      <c r="E81" s="744">
        <v>0.01</v>
      </c>
      <c r="F81" s="118">
        <v>2</v>
      </c>
      <c r="G81" s="118" t="s">
        <v>429</v>
      </c>
      <c r="H81" s="66">
        <v>1</v>
      </c>
      <c r="I81" s="66">
        <v>2</v>
      </c>
      <c r="J81" s="66">
        <v>2</v>
      </c>
      <c r="K81" s="66">
        <v>1</v>
      </c>
      <c r="L81" s="66">
        <v>1</v>
      </c>
      <c r="M81" s="66">
        <v>1</v>
      </c>
      <c r="N81" s="438">
        <f t="shared" si="25"/>
        <v>0.16933510251023262</v>
      </c>
      <c r="O81" s="438">
        <f t="shared" si="26"/>
        <v>0.19908580854301616</v>
      </c>
      <c r="P81" s="118" t="s">
        <v>846</v>
      </c>
    </row>
    <row r="82" spans="1:18" s="436" customFormat="1" ht="15" thickBot="1">
      <c r="A82" s="638" t="s">
        <v>444</v>
      </c>
      <c r="B82" s="775" t="s">
        <v>333</v>
      </c>
      <c r="C82" s="34" t="s">
        <v>139</v>
      </c>
      <c r="D82" s="124" t="s">
        <v>99</v>
      </c>
      <c r="E82" s="749" t="s">
        <v>150</v>
      </c>
      <c r="F82" s="119">
        <v>1</v>
      </c>
      <c r="G82" s="119" t="s">
        <v>429</v>
      </c>
      <c r="H82" s="15"/>
      <c r="I82" s="15"/>
      <c r="J82" s="15"/>
      <c r="K82" s="15"/>
      <c r="L82" s="15"/>
      <c r="M82" s="15"/>
      <c r="N82" s="424" t="str">
        <f t="shared" si="25"/>
        <v/>
      </c>
      <c r="O82" s="424" t="str">
        <f t="shared" si="26"/>
        <v/>
      </c>
      <c r="P82" s="119"/>
    </row>
    <row r="83" spans="1:18" s="436" customFormat="1">
      <c r="A83" s="634" t="s">
        <v>446</v>
      </c>
      <c r="B83" s="783" t="s">
        <v>258</v>
      </c>
      <c r="C83" s="34" t="s">
        <v>139</v>
      </c>
      <c r="D83" s="121" t="s">
        <v>99</v>
      </c>
      <c r="E83" s="632">
        <v>0.05</v>
      </c>
      <c r="F83" s="11">
        <v>2</v>
      </c>
      <c r="G83" s="11" t="s">
        <v>429</v>
      </c>
      <c r="H83" s="13">
        <v>1</v>
      </c>
      <c r="I83" s="13">
        <v>2</v>
      </c>
      <c r="J83" s="13">
        <v>2</v>
      </c>
      <c r="K83" s="13">
        <v>1</v>
      </c>
      <c r="L83" s="13">
        <v>1</v>
      </c>
      <c r="M83" s="13">
        <v>1</v>
      </c>
      <c r="N83" s="425">
        <f t="shared" si="25"/>
        <v>0.16933510251023262</v>
      </c>
      <c r="O83" s="425">
        <f t="shared" si="26"/>
        <v>0.19908580854301616</v>
      </c>
      <c r="P83" s="42" t="s">
        <v>847</v>
      </c>
    </row>
    <row r="84" spans="1:18" s="436" customFormat="1" ht="15" thickBot="1">
      <c r="A84" s="635" t="s">
        <v>446</v>
      </c>
      <c r="B84" s="784" t="s">
        <v>333</v>
      </c>
      <c r="C84" s="34" t="s">
        <v>139</v>
      </c>
      <c r="D84" s="123" t="s">
        <v>99</v>
      </c>
      <c r="E84" s="753" t="s">
        <v>150</v>
      </c>
      <c r="F84" s="12">
        <v>1</v>
      </c>
      <c r="G84" s="12" t="s">
        <v>429</v>
      </c>
      <c r="H84" s="14"/>
      <c r="I84" s="14"/>
      <c r="J84" s="14"/>
      <c r="K84" s="14"/>
      <c r="L84" s="14"/>
      <c r="M84" s="14"/>
      <c r="N84" s="428" t="str">
        <f t="shared" si="25"/>
        <v/>
      </c>
      <c r="O84" s="428" t="str">
        <f t="shared" si="26"/>
        <v/>
      </c>
      <c r="P84" s="44"/>
    </row>
    <row r="85" spans="1:18" s="436" customFormat="1">
      <c r="A85" s="637" t="s">
        <v>428</v>
      </c>
      <c r="B85" s="774" t="s">
        <v>448</v>
      </c>
      <c r="C85" s="34" t="s">
        <v>139</v>
      </c>
      <c r="D85" s="614" t="s">
        <v>99</v>
      </c>
      <c r="E85" s="744">
        <f>0.5*0.97</f>
        <v>0.48499999999999999</v>
      </c>
      <c r="F85" s="118">
        <v>2</v>
      </c>
      <c r="G85" s="118" t="s">
        <v>429</v>
      </c>
      <c r="H85" s="66">
        <v>1</v>
      </c>
      <c r="I85" s="66">
        <v>2</v>
      </c>
      <c r="J85" s="66">
        <v>2</v>
      </c>
      <c r="K85" s="66">
        <v>1</v>
      </c>
      <c r="L85" s="66">
        <v>1</v>
      </c>
      <c r="M85" s="66">
        <v>1</v>
      </c>
      <c r="N85" s="438">
        <f t="shared" si="25"/>
        <v>0.16933510251023262</v>
      </c>
      <c r="O85" s="438">
        <f t="shared" si="26"/>
        <v>0.19908580854301616</v>
      </c>
      <c r="P85" s="118" t="s">
        <v>848</v>
      </c>
    </row>
    <row r="86" spans="1:18" s="436" customFormat="1">
      <c r="A86" s="313" t="s">
        <v>428</v>
      </c>
      <c r="B86" s="780" t="s">
        <v>449</v>
      </c>
      <c r="C86" s="34" t="s">
        <v>139</v>
      </c>
      <c r="D86" s="122" t="s">
        <v>99</v>
      </c>
      <c r="E86" s="242">
        <f>0.5*0.97</f>
        <v>0.48499999999999999</v>
      </c>
      <c r="F86" s="9">
        <v>2</v>
      </c>
      <c r="G86" s="9" t="s">
        <v>429</v>
      </c>
      <c r="H86" s="10">
        <v>1</v>
      </c>
      <c r="I86" s="10">
        <v>2</v>
      </c>
      <c r="J86" s="10">
        <v>2</v>
      </c>
      <c r="K86" s="10">
        <v>1</v>
      </c>
      <c r="L86" s="10">
        <v>1</v>
      </c>
      <c r="M86" s="10">
        <v>1</v>
      </c>
      <c r="N86" s="405">
        <f t="shared" si="25"/>
        <v>0.16933510251023262</v>
      </c>
      <c r="O86" s="405">
        <f t="shared" si="26"/>
        <v>0.19908580854301616</v>
      </c>
      <c r="P86" s="9" t="s">
        <v>849</v>
      </c>
    </row>
    <row r="87" spans="1:18" s="436" customFormat="1" ht="15" thickBot="1">
      <c r="A87" s="638" t="s">
        <v>428</v>
      </c>
      <c r="B87" s="775" t="s">
        <v>223</v>
      </c>
      <c r="C87" s="34" t="s">
        <v>139</v>
      </c>
      <c r="D87" s="124" t="s">
        <v>99</v>
      </c>
      <c r="E87" s="749">
        <v>0.03</v>
      </c>
      <c r="F87" s="119">
        <v>1</v>
      </c>
      <c r="G87" s="119" t="s">
        <v>429</v>
      </c>
      <c r="H87" s="15">
        <v>1</v>
      </c>
      <c r="I87" s="15">
        <v>2</v>
      </c>
      <c r="J87" s="15">
        <v>2</v>
      </c>
      <c r="K87" s="15">
        <v>1</v>
      </c>
      <c r="L87" s="15">
        <v>1</v>
      </c>
      <c r="M87" s="15">
        <v>1</v>
      </c>
      <c r="N87" s="424">
        <f t="shared" si="25"/>
        <v>0.16933510251023262</v>
      </c>
      <c r="O87" s="424">
        <f t="shared" si="26"/>
        <v>0.19908580854301616</v>
      </c>
      <c r="P87" s="119" t="s">
        <v>850</v>
      </c>
    </row>
    <row r="88" spans="1:18" s="436" customFormat="1">
      <c r="A88" s="634" t="s">
        <v>448</v>
      </c>
      <c r="B88" s="783" t="s">
        <v>451</v>
      </c>
      <c r="C88" s="34" t="s">
        <v>139</v>
      </c>
      <c r="D88" s="121" t="s">
        <v>99</v>
      </c>
      <c r="E88" s="632">
        <v>0.03</v>
      </c>
      <c r="F88" s="11">
        <v>2</v>
      </c>
      <c r="G88" s="11" t="s">
        <v>429</v>
      </c>
      <c r="H88" s="13">
        <v>1</v>
      </c>
      <c r="I88" s="13">
        <v>2</v>
      </c>
      <c r="J88" s="13">
        <v>2</v>
      </c>
      <c r="K88" s="13">
        <v>1</v>
      </c>
      <c r="L88" s="13">
        <v>1</v>
      </c>
      <c r="M88" s="13">
        <v>1</v>
      </c>
      <c r="N88" s="425">
        <f t="shared" si="25"/>
        <v>0.16933510251023262</v>
      </c>
      <c r="O88" s="425">
        <f t="shared" si="26"/>
        <v>0.19908580854301616</v>
      </c>
      <c r="P88" s="42" t="s">
        <v>851</v>
      </c>
    </row>
    <row r="89" spans="1:18" s="436" customFormat="1" ht="15" thickBot="1">
      <c r="A89" s="635" t="s">
        <v>448</v>
      </c>
      <c r="B89" s="784" t="s">
        <v>450</v>
      </c>
      <c r="C89" s="34" t="s">
        <v>139</v>
      </c>
      <c r="D89" s="123" t="s">
        <v>99</v>
      </c>
      <c r="E89" s="753" t="s">
        <v>150</v>
      </c>
      <c r="F89" s="12">
        <v>1</v>
      </c>
      <c r="G89" s="12" t="s">
        <v>429</v>
      </c>
      <c r="H89" s="14"/>
      <c r="I89" s="14"/>
      <c r="J89" s="14"/>
      <c r="K89" s="14"/>
      <c r="L89" s="14"/>
      <c r="M89" s="14"/>
      <c r="N89" s="428" t="str">
        <f t="shared" si="25"/>
        <v/>
      </c>
      <c r="O89" s="428" t="str">
        <f t="shared" si="26"/>
        <v/>
      </c>
      <c r="P89" s="44"/>
    </row>
    <row r="90" spans="1:18" s="436" customFormat="1">
      <c r="A90" s="637" t="s">
        <v>451</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1933</v>
      </c>
      <c r="R90" s="756"/>
    </row>
    <row r="91" spans="1:18" s="436" customFormat="1">
      <c r="A91" s="313" t="s">
        <v>451</v>
      </c>
      <c r="B91" s="780" t="s">
        <v>232</v>
      </c>
      <c r="C91" s="34" t="s">
        <v>139</v>
      </c>
      <c r="D91" s="122" t="s">
        <v>99</v>
      </c>
      <c r="E91" s="242">
        <v>0.39400000000000002</v>
      </c>
      <c r="F91" s="9">
        <v>2</v>
      </c>
      <c r="G91" s="9" t="s">
        <v>429</v>
      </c>
      <c r="H91" s="10">
        <v>1</v>
      </c>
      <c r="I91" s="10">
        <v>2</v>
      </c>
      <c r="J91" s="10">
        <v>2</v>
      </c>
      <c r="K91" s="10">
        <v>1</v>
      </c>
      <c r="L91" s="10">
        <v>1</v>
      </c>
      <c r="M91" s="10">
        <v>1</v>
      </c>
      <c r="N91" s="405">
        <f t="shared" si="25"/>
        <v>0.16933510251023262</v>
      </c>
      <c r="O91" s="405">
        <f t="shared" si="26"/>
        <v>0.19908580854301616</v>
      </c>
      <c r="P91" s="9" t="s">
        <v>1957</v>
      </c>
    </row>
    <row r="92" spans="1:18" s="436" customFormat="1">
      <c r="A92" s="638" t="s">
        <v>451</v>
      </c>
      <c r="B92" s="775" t="s">
        <v>251</v>
      </c>
      <c r="C92" s="34" t="s">
        <v>139</v>
      </c>
      <c r="D92" s="124" t="s">
        <v>99</v>
      </c>
      <c r="E92" s="242">
        <v>0.52200000000000002</v>
      </c>
      <c r="F92" s="7">
        <v>1</v>
      </c>
      <c r="G92" s="9" t="s">
        <v>429</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1958</v>
      </c>
    </row>
    <row r="93" spans="1:18" s="436" customFormat="1" ht="15" thickBot="1">
      <c r="A93" s="638" t="s">
        <v>451</v>
      </c>
      <c r="B93" s="775" t="s">
        <v>258</v>
      </c>
      <c r="C93" s="34" t="s">
        <v>139</v>
      </c>
      <c r="D93" s="124" t="s">
        <v>99</v>
      </c>
      <c r="E93" s="749">
        <v>3.4000000000000002E-2</v>
      </c>
      <c r="F93" s="119">
        <v>2</v>
      </c>
      <c r="G93" s="9" t="s">
        <v>429</v>
      </c>
      <c r="H93" s="15"/>
      <c r="I93" s="15"/>
      <c r="J93" s="15"/>
      <c r="K93" s="15"/>
      <c r="L93" s="15"/>
      <c r="M93" s="15"/>
      <c r="N93" s="424"/>
      <c r="O93" s="424"/>
      <c r="P93" s="754" t="s">
        <v>1959</v>
      </c>
    </row>
    <row r="94" spans="1:18" s="436" customFormat="1">
      <c r="A94" s="634" t="s">
        <v>449</v>
      </c>
      <c r="B94" s="783" t="s">
        <v>452</v>
      </c>
      <c r="C94" s="34" t="s">
        <v>139</v>
      </c>
      <c r="D94" s="121" t="s">
        <v>99</v>
      </c>
      <c r="E94" s="632">
        <f>0.1*E88</f>
        <v>3.0000000000000001E-3</v>
      </c>
      <c r="F94" s="11">
        <v>2</v>
      </c>
      <c r="G94" s="11" t="s">
        <v>429</v>
      </c>
      <c r="H94" s="13">
        <v>1</v>
      </c>
      <c r="I94" s="13">
        <v>2</v>
      </c>
      <c r="J94" s="13">
        <v>2</v>
      </c>
      <c r="K94" s="13">
        <v>1</v>
      </c>
      <c r="L94" s="13">
        <v>1</v>
      </c>
      <c r="M94" s="13">
        <v>1</v>
      </c>
      <c r="N94" s="425">
        <f t="shared" si="25"/>
        <v>0.16933510251023262</v>
      </c>
      <c r="O94" s="425">
        <f t="shared" si="26"/>
        <v>0.19908580854301616</v>
      </c>
      <c r="P94" s="42" t="s">
        <v>852</v>
      </c>
    </row>
    <row r="95" spans="1:18" s="436" customFormat="1" ht="15" thickBot="1">
      <c r="A95" s="635" t="s">
        <v>449</v>
      </c>
      <c r="B95" s="784" t="s">
        <v>447</v>
      </c>
      <c r="C95" s="34" t="s">
        <v>139</v>
      </c>
      <c r="D95" s="123" t="s">
        <v>99</v>
      </c>
      <c r="E95" s="753" t="s">
        <v>150</v>
      </c>
      <c r="F95" s="12">
        <v>1</v>
      </c>
      <c r="G95" s="12" t="s">
        <v>429</v>
      </c>
      <c r="H95" s="14"/>
      <c r="I95" s="14"/>
      <c r="J95" s="14"/>
      <c r="K95" s="14"/>
      <c r="L95" s="14"/>
      <c r="M95" s="14"/>
      <c r="N95" s="428" t="str">
        <f t="shared" si="25"/>
        <v/>
      </c>
      <c r="O95" s="428" t="str">
        <f t="shared" si="26"/>
        <v/>
      </c>
      <c r="P95" s="44" t="s">
        <v>1934</v>
      </c>
    </row>
    <row r="96" spans="1:18" s="436" customFormat="1" ht="15" thickBot="1">
      <c r="A96" s="758" t="s">
        <v>452</v>
      </c>
      <c r="B96" s="777" t="s">
        <v>228</v>
      </c>
      <c r="C96" s="34" t="s">
        <v>139</v>
      </c>
      <c r="D96" s="787" t="s">
        <v>99</v>
      </c>
      <c r="E96" s="755">
        <v>1</v>
      </c>
      <c r="F96" s="754">
        <v>2</v>
      </c>
      <c r="G96" s="754" t="s">
        <v>429</v>
      </c>
      <c r="H96" s="71">
        <v>1</v>
      </c>
      <c r="I96" s="71">
        <v>2</v>
      </c>
      <c r="J96" s="71">
        <v>2</v>
      </c>
      <c r="K96" s="71">
        <v>1</v>
      </c>
      <c r="L96" s="71">
        <v>1</v>
      </c>
      <c r="M96" s="71">
        <v>1</v>
      </c>
      <c r="N96" s="759">
        <f t="shared" si="25"/>
        <v>0.16933510251023262</v>
      </c>
      <c r="O96" s="759">
        <f t="shared" si="26"/>
        <v>0.19908580854301616</v>
      </c>
      <c r="P96" s="754" t="s">
        <v>853</v>
      </c>
    </row>
    <row r="97" spans="1:16" s="436" customFormat="1">
      <c r="A97" s="634" t="s">
        <v>450</v>
      </c>
      <c r="B97" s="783" t="s">
        <v>231</v>
      </c>
      <c r="C97" s="34" t="s">
        <v>139</v>
      </c>
      <c r="D97" s="121" t="s">
        <v>99</v>
      </c>
      <c r="E97" s="632">
        <v>0</v>
      </c>
      <c r="F97" s="11">
        <v>2</v>
      </c>
      <c r="G97" s="11" t="s">
        <v>429</v>
      </c>
      <c r="H97" s="13">
        <v>1</v>
      </c>
      <c r="I97" s="13">
        <v>2</v>
      </c>
      <c r="J97" s="13">
        <v>2</v>
      </c>
      <c r="K97" s="13">
        <v>1</v>
      </c>
      <c r="L97" s="13">
        <v>1</v>
      </c>
      <c r="M97" s="13">
        <v>1</v>
      </c>
      <c r="N97" s="425">
        <f t="shared" si="25"/>
        <v>0.16933510251023262</v>
      </c>
      <c r="O97" s="425">
        <f t="shared" si="26"/>
        <v>0.19908580854301616</v>
      </c>
      <c r="P97" s="42" t="s">
        <v>1975</v>
      </c>
    </row>
    <row r="98" spans="1:16" s="436" customFormat="1">
      <c r="A98" s="636" t="s">
        <v>450</v>
      </c>
      <c r="B98" s="780" t="s">
        <v>232</v>
      </c>
      <c r="C98" s="34" t="s">
        <v>139</v>
      </c>
      <c r="D98" s="122" t="s">
        <v>99</v>
      </c>
      <c r="E98" s="242">
        <v>0</v>
      </c>
      <c r="F98" s="9">
        <v>2</v>
      </c>
      <c r="G98" s="9" t="s">
        <v>429</v>
      </c>
      <c r="H98" s="10">
        <v>1</v>
      </c>
      <c r="I98" s="10">
        <v>2</v>
      </c>
      <c r="J98" s="10">
        <v>2</v>
      </c>
      <c r="K98" s="10">
        <v>1</v>
      </c>
      <c r="L98" s="10">
        <v>1</v>
      </c>
      <c r="M98" s="10">
        <v>1</v>
      </c>
      <c r="N98" s="405">
        <f t="shared" si="25"/>
        <v>0.16933510251023262</v>
      </c>
      <c r="O98" s="405">
        <f t="shared" si="26"/>
        <v>0.19908580854301616</v>
      </c>
      <c r="P98" s="43" t="s">
        <v>1975</v>
      </c>
    </row>
    <row r="99" spans="1:16" s="436" customFormat="1">
      <c r="A99" s="636" t="s">
        <v>450</v>
      </c>
      <c r="B99" s="780" t="s">
        <v>251</v>
      </c>
      <c r="C99" s="34" t="s">
        <v>139</v>
      </c>
      <c r="D99" s="122" t="s">
        <v>99</v>
      </c>
      <c r="E99" s="242">
        <v>0</v>
      </c>
      <c r="F99" s="9">
        <v>2</v>
      </c>
      <c r="G99" s="9" t="s">
        <v>429</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1975</v>
      </c>
    </row>
    <row r="100" spans="1:16" s="436" customFormat="1">
      <c r="A100" s="636" t="s">
        <v>450</v>
      </c>
      <c r="B100" s="775" t="s">
        <v>258</v>
      </c>
      <c r="C100" s="34" t="s">
        <v>139</v>
      </c>
      <c r="D100" s="124" t="s">
        <v>99</v>
      </c>
      <c r="E100" s="749">
        <v>0</v>
      </c>
      <c r="F100" s="119">
        <v>2</v>
      </c>
      <c r="G100" s="119" t="s">
        <v>429</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1975</v>
      </c>
    </row>
    <row r="101" spans="1:16" s="436" customFormat="1" ht="15" thickBot="1">
      <c r="A101" s="635" t="s">
        <v>450</v>
      </c>
      <c r="B101" s="784" t="s">
        <v>333</v>
      </c>
      <c r="C101" s="34" t="s">
        <v>139</v>
      </c>
      <c r="D101" s="123" t="s">
        <v>99</v>
      </c>
      <c r="E101" s="753" t="s">
        <v>150</v>
      </c>
      <c r="F101" s="12">
        <v>1</v>
      </c>
      <c r="G101" s="12" t="s">
        <v>429</v>
      </c>
      <c r="H101" s="14"/>
      <c r="I101" s="14"/>
      <c r="J101" s="14"/>
      <c r="K101" s="14"/>
      <c r="L101" s="14"/>
      <c r="M101" s="14"/>
      <c r="N101" s="428" t="str">
        <f t="shared" si="25"/>
        <v/>
      </c>
      <c r="O101" s="428" t="str">
        <f t="shared" si="26"/>
        <v/>
      </c>
      <c r="P101" s="44"/>
    </row>
    <row r="102" spans="1:16" s="436" customFormat="1">
      <c r="A102" s="637" t="s">
        <v>447</v>
      </c>
      <c r="B102" s="774" t="s">
        <v>228</v>
      </c>
      <c r="C102" s="34" t="s">
        <v>139</v>
      </c>
      <c r="D102" s="614" t="s">
        <v>99</v>
      </c>
      <c r="E102" s="744">
        <v>0</v>
      </c>
      <c r="F102" s="118">
        <v>2</v>
      </c>
      <c r="G102" s="118" t="s">
        <v>429</v>
      </c>
      <c r="H102" s="66">
        <v>1</v>
      </c>
      <c r="I102" s="66">
        <v>2</v>
      </c>
      <c r="J102" s="66">
        <v>2</v>
      </c>
      <c r="K102" s="66">
        <v>1</v>
      </c>
      <c r="L102" s="66">
        <v>1</v>
      </c>
      <c r="M102" s="66">
        <v>1</v>
      </c>
      <c r="N102" s="438">
        <f t="shared" si="25"/>
        <v>0.16933510251023262</v>
      </c>
      <c r="O102" s="438">
        <f t="shared" si="26"/>
        <v>0.19908580854301616</v>
      </c>
      <c r="P102" s="118" t="s">
        <v>854</v>
      </c>
    </row>
    <row r="103" spans="1:16" s="436" customFormat="1" ht="15" thickBot="1">
      <c r="A103" s="638" t="s">
        <v>447</v>
      </c>
      <c r="B103" s="775" t="s">
        <v>333</v>
      </c>
      <c r="C103" s="34" t="s">
        <v>139</v>
      </c>
      <c r="D103" s="124" t="s">
        <v>99</v>
      </c>
      <c r="E103" s="749" t="s">
        <v>150</v>
      </c>
      <c r="F103" s="119">
        <v>1</v>
      </c>
      <c r="G103" s="119" t="s">
        <v>429</v>
      </c>
      <c r="H103" s="15"/>
      <c r="I103" s="15"/>
      <c r="J103" s="15"/>
      <c r="K103" s="15"/>
      <c r="L103" s="15"/>
      <c r="M103" s="15"/>
      <c r="N103" s="424" t="str">
        <f t="shared" si="25"/>
        <v/>
      </c>
      <c r="O103" s="424" t="str">
        <f t="shared" si="26"/>
        <v/>
      </c>
      <c r="P103" s="119" t="s">
        <v>1935</v>
      </c>
    </row>
    <row r="104" spans="1:16" s="436" customFormat="1">
      <c r="A104" s="634" t="s">
        <v>430</v>
      </c>
      <c r="B104" s="783" t="s">
        <v>453</v>
      </c>
      <c r="C104" s="34" t="s">
        <v>139</v>
      </c>
      <c r="D104" s="121" t="s">
        <v>99</v>
      </c>
      <c r="E104" s="632">
        <f>0.97*0.4</f>
        <v>0.38800000000000001</v>
      </c>
      <c r="F104" s="11">
        <v>2</v>
      </c>
      <c r="G104" s="11" t="s">
        <v>429</v>
      </c>
      <c r="H104" s="13">
        <v>1</v>
      </c>
      <c r="I104" s="13">
        <v>2</v>
      </c>
      <c r="J104" s="13">
        <v>2</v>
      </c>
      <c r="K104" s="13">
        <v>1</v>
      </c>
      <c r="L104" s="13">
        <v>1</v>
      </c>
      <c r="M104" s="13">
        <v>1</v>
      </c>
      <c r="N104" s="425">
        <f t="shared" si="25"/>
        <v>0.16933510251023262</v>
      </c>
      <c r="O104" s="425">
        <f t="shared" si="26"/>
        <v>0.19908580854301616</v>
      </c>
      <c r="P104" s="42" t="s">
        <v>855</v>
      </c>
    </row>
    <row r="105" spans="1:16" s="436" customFormat="1">
      <c r="A105" s="636" t="s">
        <v>430</v>
      </c>
      <c r="B105" s="780" t="s">
        <v>454</v>
      </c>
      <c r="C105" s="34" t="s">
        <v>139</v>
      </c>
      <c r="D105" s="122" t="s">
        <v>99</v>
      </c>
      <c r="E105" s="242">
        <f>0.97*0.6</f>
        <v>0.58199999999999996</v>
      </c>
      <c r="F105" s="9">
        <v>2</v>
      </c>
      <c r="G105" s="9" t="s">
        <v>429</v>
      </c>
      <c r="H105" s="10">
        <v>1</v>
      </c>
      <c r="I105" s="10">
        <v>2</v>
      </c>
      <c r="J105" s="10">
        <v>2</v>
      </c>
      <c r="K105" s="10">
        <v>1</v>
      </c>
      <c r="L105" s="10">
        <v>1</v>
      </c>
      <c r="M105" s="10">
        <v>1</v>
      </c>
      <c r="N105" s="405">
        <f t="shared" si="25"/>
        <v>0.16933510251023262</v>
      </c>
      <c r="O105" s="405">
        <f t="shared" si="26"/>
        <v>0.19908580854301616</v>
      </c>
      <c r="P105" s="43" t="s">
        <v>856</v>
      </c>
    </row>
    <row r="106" spans="1:16" s="436" customFormat="1" ht="15" thickBot="1">
      <c r="A106" s="635" t="s">
        <v>430</v>
      </c>
      <c r="B106" s="784" t="s">
        <v>223</v>
      </c>
      <c r="C106" s="34" t="s">
        <v>139</v>
      </c>
      <c r="D106" s="123" t="s">
        <v>99</v>
      </c>
      <c r="E106" s="753">
        <v>0.03</v>
      </c>
      <c r="F106" s="12">
        <v>1</v>
      </c>
      <c r="G106" s="12" t="s">
        <v>429</v>
      </c>
      <c r="H106" s="14">
        <v>1</v>
      </c>
      <c r="I106" s="14">
        <v>2</v>
      </c>
      <c r="J106" s="14">
        <v>2</v>
      </c>
      <c r="K106" s="14">
        <v>1</v>
      </c>
      <c r="L106" s="14">
        <v>1</v>
      </c>
      <c r="M106" s="14">
        <v>1</v>
      </c>
      <c r="N106" s="428">
        <f t="shared" si="25"/>
        <v>0.16933510251023262</v>
      </c>
      <c r="O106" s="428">
        <f t="shared" si="26"/>
        <v>0.19908580854301616</v>
      </c>
      <c r="P106" s="44" t="s">
        <v>850</v>
      </c>
    </row>
    <row r="107" spans="1:16" s="436" customFormat="1">
      <c r="A107" s="637" t="s">
        <v>453</v>
      </c>
      <c r="B107" s="774" t="s">
        <v>455</v>
      </c>
      <c r="C107" s="34" t="s">
        <v>139</v>
      </c>
      <c r="D107" s="614" t="s">
        <v>99</v>
      </c>
      <c r="E107" s="744">
        <v>0.03</v>
      </c>
      <c r="F107" s="118">
        <v>2</v>
      </c>
      <c r="G107" s="118" t="s">
        <v>429</v>
      </c>
      <c r="H107" s="66">
        <v>1</v>
      </c>
      <c r="I107" s="66">
        <v>2</v>
      </c>
      <c r="J107" s="66">
        <v>2</v>
      </c>
      <c r="K107" s="66">
        <v>1</v>
      </c>
      <c r="L107" s="66">
        <v>1</v>
      </c>
      <c r="M107" s="66">
        <v>1</v>
      </c>
      <c r="N107" s="438">
        <f t="shared" si="25"/>
        <v>0.16933510251023262</v>
      </c>
      <c r="O107" s="438">
        <f t="shared" si="26"/>
        <v>0.19908580854301616</v>
      </c>
      <c r="P107" s="118" t="s">
        <v>851</v>
      </c>
    </row>
    <row r="108" spans="1:16" s="436" customFormat="1" ht="15" thickBot="1">
      <c r="A108" s="638" t="s">
        <v>453</v>
      </c>
      <c r="B108" s="775" t="s">
        <v>456</v>
      </c>
      <c r="C108" s="34" t="s">
        <v>139</v>
      </c>
      <c r="D108" s="124" t="s">
        <v>99</v>
      </c>
      <c r="E108" s="749" t="s">
        <v>150</v>
      </c>
      <c r="F108" s="119">
        <v>1</v>
      </c>
      <c r="G108" s="119" t="s">
        <v>429</v>
      </c>
      <c r="H108" s="15"/>
      <c r="I108" s="15"/>
      <c r="J108" s="15"/>
      <c r="K108" s="15"/>
      <c r="L108" s="15"/>
      <c r="M108" s="15"/>
      <c r="N108" s="424" t="str">
        <f t="shared" si="25"/>
        <v/>
      </c>
      <c r="O108" s="424" t="str">
        <f t="shared" si="26"/>
        <v/>
      </c>
      <c r="P108" s="119" t="s">
        <v>1936</v>
      </c>
    </row>
    <row r="109" spans="1:16" s="436" customFormat="1">
      <c r="A109" s="437" t="s">
        <v>455</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1933</v>
      </c>
    </row>
    <row r="110" spans="1:16" s="436" customFormat="1">
      <c r="A110" s="496" t="s">
        <v>455</v>
      </c>
      <c r="B110" s="496" t="s">
        <v>232</v>
      </c>
      <c r="C110" s="34" t="s">
        <v>139</v>
      </c>
      <c r="D110" s="122" t="s">
        <v>99</v>
      </c>
      <c r="E110" s="242">
        <v>0.39400000000000002</v>
      </c>
      <c r="F110" s="9">
        <v>2</v>
      </c>
      <c r="G110" s="9" t="s">
        <v>429</v>
      </c>
      <c r="H110" s="10">
        <v>1</v>
      </c>
      <c r="I110" s="10">
        <v>2</v>
      </c>
      <c r="J110" s="10">
        <v>2</v>
      </c>
      <c r="K110" s="10">
        <v>1</v>
      </c>
      <c r="L110" s="10">
        <v>1</v>
      </c>
      <c r="M110" s="10">
        <v>1</v>
      </c>
      <c r="N110" s="405">
        <f t="shared" si="25"/>
        <v>0.16933510251023262</v>
      </c>
      <c r="O110" s="405">
        <f t="shared" si="26"/>
        <v>0.19908580854301616</v>
      </c>
      <c r="P110" s="43" t="s">
        <v>1957</v>
      </c>
    </row>
    <row r="111" spans="1:16" s="436" customFormat="1">
      <c r="A111" s="496" t="s">
        <v>455</v>
      </c>
      <c r="B111" s="496" t="s">
        <v>251</v>
      </c>
      <c r="C111" s="34" t="s">
        <v>139</v>
      </c>
      <c r="D111" s="122" t="s">
        <v>99</v>
      </c>
      <c r="E111" s="242">
        <v>0.52200000000000002</v>
      </c>
      <c r="F111" s="7">
        <v>1</v>
      </c>
      <c r="G111" s="9" t="s">
        <v>429</v>
      </c>
      <c r="H111" s="10">
        <v>1</v>
      </c>
      <c r="I111" s="10">
        <v>2</v>
      </c>
      <c r="J111" s="10">
        <v>2</v>
      </c>
      <c r="K111" s="10">
        <v>1</v>
      </c>
      <c r="L111" s="10">
        <v>1</v>
      </c>
      <c r="M111" s="10">
        <v>1</v>
      </c>
      <c r="N111" s="405">
        <f t="shared" si="25"/>
        <v>0.16933510251023262</v>
      </c>
      <c r="O111" s="405">
        <f t="shared" si="26"/>
        <v>0.19908580854301616</v>
      </c>
      <c r="P111" s="43" t="s">
        <v>1958</v>
      </c>
    </row>
    <row r="112" spans="1:16" s="436" customFormat="1" ht="15" thickBot="1">
      <c r="A112" s="496" t="s">
        <v>455</v>
      </c>
      <c r="B112" s="773" t="s">
        <v>258</v>
      </c>
      <c r="C112" s="34" t="s">
        <v>139</v>
      </c>
      <c r="D112" s="123" t="s">
        <v>99</v>
      </c>
      <c r="E112" s="753">
        <v>3.4000000000000002E-2</v>
      </c>
      <c r="F112" s="12">
        <v>2</v>
      </c>
      <c r="G112" s="12" t="s">
        <v>429</v>
      </c>
      <c r="H112" s="14"/>
      <c r="I112" s="14"/>
      <c r="J112" s="14"/>
      <c r="K112" s="14"/>
      <c r="L112" s="14"/>
      <c r="M112" s="14"/>
      <c r="N112" s="428"/>
      <c r="O112" s="428"/>
      <c r="P112" s="44" t="s">
        <v>1959</v>
      </c>
    </row>
    <row r="113" spans="1:16" s="436" customFormat="1">
      <c r="A113" s="637" t="s">
        <v>454</v>
      </c>
      <c r="B113" s="774" t="s">
        <v>457</v>
      </c>
      <c r="C113" s="34" t="s">
        <v>139</v>
      </c>
      <c r="D113" s="614" t="s">
        <v>99</v>
      </c>
      <c r="E113" s="744">
        <f>0.1*E107</f>
        <v>3.0000000000000001E-3</v>
      </c>
      <c r="F113" s="118">
        <v>2</v>
      </c>
      <c r="G113" s="118" t="s">
        <v>429</v>
      </c>
      <c r="H113" s="66">
        <v>1</v>
      </c>
      <c r="I113" s="66">
        <v>2</v>
      </c>
      <c r="J113" s="66">
        <v>2</v>
      </c>
      <c r="K113" s="66">
        <v>1</v>
      </c>
      <c r="L113" s="66">
        <v>1</v>
      </c>
      <c r="M113" s="66">
        <v>1</v>
      </c>
      <c r="N113" s="438">
        <f t="shared" si="25"/>
        <v>0.16933510251023262</v>
      </c>
      <c r="O113" s="438">
        <f t="shared" si="26"/>
        <v>0.19908580854301616</v>
      </c>
      <c r="P113" s="118" t="s">
        <v>852</v>
      </c>
    </row>
    <row r="114" spans="1:16" s="436" customFormat="1" ht="15" thickBot="1">
      <c r="A114" s="638" t="s">
        <v>454</v>
      </c>
      <c r="B114" s="775" t="s">
        <v>458</v>
      </c>
      <c r="C114" s="34" t="s">
        <v>139</v>
      </c>
      <c r="D114" s="124" t="s">
        <v>99</v>
      </c>
      <c r="E114" s="749" t="s">
        <v>150</v>
      </c>
      <c r="F114" s="119">
        <v>1</v>
      </c>
      <c r="G114" s="119" t="s">
        <v>429</v>
      </c>
      <c r="H114" s="15"/>
      <c r="I114" s="15"/>
      <c r="J114" s="15"/>
      <c r="K114" s="15"/>
      <c r="L114" s="15"/>
      <c r="M114" s="15"/>
      <c r="N114" s="424" t="str">
        <f t="shared" si="25"/>
        <v/>
      </c>
      <c r="O114" s="424" t="str">
        <f t="shared" si="26"/>
        <v/>
      </c>
      <c r="P114" s="119" t="s">
        <v>1936</v>
      </c>
    </row>
    <row r="115" spans="1:16" s="436" customFormat="1" ht="15" thickBot="1">
      <c r="A115" s="633" t="s">
        <v>457</v>
      </c>
      <c r="B115" s="785" t="s">
        <v>228</v>
      </c>
      <c r="C115" s="34" t="s">
        <v>139</v>
      </c>
      <c r="D115" s="781" t="s">
        <v>99</v>
      </c>
      <c r="E115" s="751">
        <v>1</v>
      </c>
      <c r="F115" s="750">
        <v>2</v>
      </c>
      <c r="G115" s="750" t="s">
        <v>429</v>
      </c>
      <c r="H115" s="70">
        <v>1</v>
      </c>
      <c r="I115" s="70">
        <v>2</v>
      </c>
      <c r="J115" s="70">
        <v>2</v>
      </c>
      <c r="K115" s="70">
        <v>1</v>
      </c>
      <c r="L115" s="70">
        <v>1</v>
      </c>
      <c r="M115" s="70">
        <v>1</v>
      </c>
      <c r="N115" s="439">
        <f t="shared" si="25"/>
        <v>0.16933510251023262</v>
      </c>
      <c r="O115" s="439">
        <f t="shared" si="26"/>
        <v>0.19908580854301616</v>
      </c>
      <c r="P115" s="752" t="s">
        <v>853</v>
      </c>
    </row>
    <row r="116" spans="1:16" s="436" customFormat="1">
      <c r="A116" s="637" t="s">
        <v>456</v>
      </c>
      <c r="B116" s="783" t="s">
        <v>231</v>
      </c>
      <c r="C116" s="34" t="s">
        <v>139</v>
      </c>
      <c r="D116" s="614" t="s">
        <v>99</v>
      </c>
      <c r="E116" s="744">
        <v>1.6000000000000001E-3</v>
      </c>
      <c r="F116" s="118">
        <v>2</v>
      </c>
      <c r="G116" s="118" t="s">
        <v>1993</v>
      </c>
      <c r="H116" s="66">
        <v>1</v>
      </c>
      <c r="I116" s="66">
        <v>2</v>
      </c>
      <c r="J116" s="66">
        <v>2</v>
      </c>
      <c r="K116" s="66">
        <v>1</v>
      </c>
      <c r="L116" s="15">
        <v>3</v>
      </c>
      <c r="M116" s="13">
        <v>3</v>
      </c>
      <c r="N116" s="438">
        <f t="shared" si="25"/>
        <v>1.0725046436742278</v>
      </c>
      <c r="O116" s="438">
        <f t="shared" si="26"/>
        <v>1.0776024280428556</v>
      </c>
      <c r="P116" s="118" t="s">
        <v>1972</v>
      </c>
    </row>
    <row r="117" spans="1:16" s="436" customFormat="1">
      <c r="A117" s="313" t="s">
        <v>456</v>
      </c>
      <c r="B117" s="780" t="s">
        <v>232</v>
      </c>
      <c r="C117" s="34" t="s">
        <v>139</v>
      </c>
      <c r="D117" s="122" t="s">
        <v>99</v>
      </c>
      <c r="E117" s="242">
        <v>1.26E-2</v>
      </c>
      <c r="F117" s="9">
        <v>2</v>
      </c>
      <c r="G117" s="9" t="s">
        <v>429</v>
      </c>
      <c r="H117" s="10">
        <v>1</v>
      </c>
      <c r="I117" s="10">
        <v>2</v>
      </c>
      <c r="J117" s="10">
        <v>2</v>
      </c>
      <c r="K117" s="10">
        <v>1</v>
      </c>
      <c r="L117" s="10">
        <v>1</v>
      </c>
      <c r="M117" s="10">
        <v>1</v>
      </c>
      <c r="N117" s="405">
        <f t="shared" si="25"/>
        <v>0.16933510251023262</v>
      </c>
      <c r="O117" s="405">
        <f t="shared" si="26"/>
        <v>0.19908580854301616</v>
      </c>
      <c r="P117" s="9" t="s">
        <v>1973</v>
      </c>
    </row>
    <row r="118" spans="1:16" s="436" customFormat="1">
      <c r="A118" s="313" t="s">
        <v>456</v>
      </c>
      <c r="B118" s="780" t="s">
        <v>251</v>
      </c>
      <c r="C118" s="34" t="s">
        <v>139</v>
      </c>
      <c r="D118" s="122" t="s">
        <v>99</v>
      </c>
      <c r="E118" s="242">
        <v>1.67E-2</v>
      </c>
      <c r="F118" s="9">
        <v>2</v>
      </c>
      <c r="G118" s="9" t="s">
        <v>429</v>
      </c>
      <c r="H118" s="10">
        <v>1</v>
      </c>
      <c r="I118" s="10">
        <v>2</v>
      </c>
      <c r="J118" s="10">
        <v>2</v>
      </c>
      <c r="K118" s="10">
        <v>1</v>
      </c>
      <c r="L118" s="10">
        <v>1</v>
      </c>
      <c r="M118" s="10">
        <v>1</v>
      </c>
      <c r="N118" s="405">
        <f t="shared" si="25"/>
        <v>0.16933510251023262</v>
      </c>
      <c r="O118" s="405">
        <f t="shared" si="26"/>
        <v>0.19908580854301616</v>
      </c>
      <c r="P118" s="9" t="s">
        <v>1977</v>
      </c>
    </row>
    <row r="119" spans="1:16" s="436" customFormat="1">
      <c r="A119" s="313" t="s">
        <v>456</v>
      </c>
      <c r="B119" s="775" t="s">
        <v>258</v>
      </c>
      <c r="C119" s="34" t="s">
        <v>139</v>
      </c>
      <c r="D119" s="124" t="s">
        <v>99</v>
      </c>
      <c r="E119" s="749">
        <v>1.1000000000000001E-3</v>
      </c>
      <c r="F119" s="119">
        <v>2</v>
      </c>
      <c r="G119" s="119" t="s">
        <v>429</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1974</v>
      </c>
    </row>
    <row r="120" spans="1:16" s="436" customFormat="1" ht="15" thickBot="1">
      <c r="A120" s="638" t="s">
        <v>456</v>
      </c>
      <c r="B120" s="784" t="s">
        <v>333</v>
      </c>
      <c r="C120" s="34" t="s">
        <v>139</v>
      </c>
      <c r="D120" s="124" t="s">
        <v>99</v>
      </c>
      <c r="E120" s="749" t="s">
        <v>150</v>
      </c>
      <c r="F120" s="119">
        <v>1</v>
      </c>
      <c r="G120" s="119" t="s">
        <v>429</v>
      </c>
      <c r="H120" s="15"/>
      <c r="I120" s="15"/>
      <c r="J120" s="15"/>
      <c r="K120" s="15"/>
      <c r="L120" s="15"/>
      <c r="M120" s="15"/>
      <c r="N120" s="424" t="str">
        <f t="shared" si="25"/>
        <v/>
      </c>
      <c r="O120" s="424" t="str">
        <f t="shared" si="26"/>
        <v/>
      </c>
      <c r="P120" s="119"/>
    </row>
    <row r="121" spans="1:16" s="436" customFormat="1">
      <c r="A121" s="634" t="s">
        <v>458</v>
      </c>
      <c r="B121" s="783" t="s">
        <v>228</v>
      </c>
      <c r="C121" s="34" t="s">
        <v>139</v>
      </c>
      <c r="D121" s="121" t="s">
        <v>99</v>
      </c>
      <c r="E121" s="632">
        <v>3.2000000000000001E-2</v>
      </c>
      <c r="F121" s="11">
        <v>2</v>
      </c>
      <c r="G121" s="11" t="s">
        <v>429</v>
      </c>
      <c r="H121" s="13">
        <v>1</v>
      </c>
      <c r="I121" s="13">
        <v>2</v>
      </c>
      <c r="J121" s="13">
        <v>2</v>
      </c>
      <c r="K121" s="13">
        <v>1</v>
      </c>
      <c r="L121" s="13">
        <v>1</v>
      </c>
      <c r="M121" s="13">
        <v>1</v>
      </c>
      <c r="N121" s="425">
        <f t="shared" si="25"/>
        <v>0.16933510251023262</v>
      </c>
      <c r="O121" s="425">
        <f t="shared" si="26"/>
        <v>0.19908580854301616</v>
      </c>
      <c r="P121" s="42" t="s">
        <v>857</v>
      </c>
    </row>
    <row r="122" spans="1:16" s="436" customFormat="1" ht="15" thickBot="1">
      <c r="A122" s="635" t="s">
        <v>458</v>
      </c>
      <c r="B122" s="784" t="s">
        <v>333</v>
      </c>
      <c r="C122" s="34" t="s">
        <v>139</v>
      </c>
      <c r="D122" s="123" t="s">
        <v>99</v>
      </c>
      <c r="E122" s="753" t="s">
        <v>150</v>
      </c>
      <c r="F122" s="12">
        <v>1</v>
      </c>
      <c r="G122" s="12" t="s">
        <v>429</v>
      </c>
      <c r="H122" s="14"/>
      <c r="I122" s="14"/>
      <c r="J122" s="14"/>
      <c r="K122" s="14"/>
      <c r="L122" s="14"/>
      <c r="M122" s="14"/>
      <c r="N122" s="428" t="str">
        <f t="shared" si="25"/>
        <v/>
      </c>
      <c r="O122" s="428" t="str">
        <f t="shared" si="26"/>
        <v/>
      </c>
      <c r="P122" s="44" t="s">
        <v>1937</v>
      </c>
    </row>
    <row r="123" spans="1:16" s="436" customFormat="1">
      <c r="A123" s="637" t="s">
        <v>431</v>
      </c>
      <c r="B123" s="774" t="s">
        <v>459</v>
      </c>
      <c r="C123" s="34" t="s">
        <v>139</v>
      </c>
      <c r="D123" s="614" t="s">
        <v>99</v>
      </c>
      <c r="E123" s="744">
        <f>0.97*0.25</f>
        <v>0.24249999999999999</v>
      </c>
      <c r="F123" s="118">
        <v>2</v>
      </c>
      <c r="G123" s="118" t="s">
        <v>429</v>
      </c>
      <c r="H123" s="66">
        <v>1</v>
      </c>
      <c r="I123" s="66">
        <v>2</v>
      </c>
      <c r="J123" s="66">
        <v>2</v>
      </c>
      <c r="K123" s="66">
        <v>1</v>
      </c>
      <c r="L123" s="66">
        <v>1</v>
      </c>
      <c r="M123" s="66">
        <v>1</v>
      </c>
      <c r="N123" s="438">
        <f t="shared" si="25"/>
        <v>0.16933510251023262</v>
      </c>
      <c r="O123" s="438">
        <f t="shared" si="26"/>
        <v>0.19908580854301616</v>
      </c>
      <c r="P123" s="118" t="s">
        <v>858</v>
      </c>
    </row>
    <row r="124" spans="1:16" s="436" customFormat="1">
      <c r="A124" s="313" t="s">
        <v>431</v>
      </c>
      <c r="B124" s="780" t="s">
        <v>460</v>
      </c>
      <c r="C124" s="34" t="s">
        <v>139</v>
      </c>
      <c r="D124" s="122" t="s">
        <v>99</v>
      </c>
      <c r="E124" s="242">
        <f>0.97*0.75</f>
        <v>0.72750000000000004</v>
      </c>
      <c r="F124" s="9">
        <v>2</v>
      </c>
      <c r="G124" s="9" t="s">
        <v>429</v>
      </c>
      <c r="H124" s="10">
        <v>1</v>
      </c>
      <c r="I124" s="10">
        <v>2</v>
      </c>
      <c r="J124" s="10">
        <v>2</v>
      </c>
      <c r="K124" s="10">
        <v>1</v>
      </c>
      <c r="L124" s="10">
        <v>1</v>
      </c>
      <c r="M124" s="10">
        <v>1</v>
      </c>
      <c r="N124" s="405">
        <f t="shared" si="25"/>
        <v>0.16933510251023262</v>
      </c>
      <c r="O124" s="405">
        <f t="shared" si="26"/>
        <v>0.19908580854301616</v>
      </c>
      <c r="P124" s="9" t="s">
        <v>859</v>
      </c>
    </row>
    <row r="125" spans="1:16" s="436" customFormat="1" ht="15" thickBot="1">
      <c r="A125" s="638" t="s">
        <v>431</v>
      </c>
      <c r="B125" s="775" t="s">
        <v>223</v>
      </c>
      <c r="C125" s="34" t="s">
        <v>139</v>
      </c>
      <c r="D125" s="124" t="s">
        <v>99</v>
      </c>
      <c r="E125" s="749">
        <v>0.03</v>
      </c>
      <c r="F125" s="119">
        <v>1</v>
      </c>
      <c r="G125" s="119" t="s">
        <v>429</v>
      </c>
      <c r="H125" s="15">
        <v>1</v>
      </c>
      <c r="I125" s="15">
        <v>2</v>
      </c>
      <c r="J125" s="15">
        <v>2</v>
      </c>
      <c r="K125" s="15">
        <v>1</v>
      </c>
      <c r="L125" s="15">
        <v>1</v>
      </c>
      <c r="M125" s="15">
        <v>1</v>
      </c>
      <c r="N125" s="424">
        <f t="shared" si="25"/>
        <v>0.16933510251023262</v>
      </c>
      <c r="O125" s="424">
        <f t="shared" si="26"/>
        <v>0.19908580854301616</v>
      </c>
      <c r="P125" s="119" t="s">
        <v>850</v>
      </c>
    </row>
    <row r="126" spans="1:16" s="436" customFormat="1">
      <c r="A126" s="634" t="s">
        <v>459</v>
      </c>
      <c r="B126" s="783" t="s">
        <v>462</v>
      </c>
      <c r="C126" s="34" t="s">
        <v>139</v>
      </c>
      <c r="D126" s="121" t="s">
        <v>99</v>
      </c>
      <c r="E126" s="632">
        <v>0.03</v>
      </c>
      <c r="F126" s="11">
        <v>2</v>
      </c>
      <c r="G126" s="11" t="s">
        <v>429</v>
      </c>
      <c r="H126" s="13">
        <v>1</v>
      </c>
      <c r="I126" s="13">
        <v>2</v>
      </c>
      <c r="J126" s="13">
        <v>2</v>
      </c>
      <c r="K126" s="13">
        <v>1</v>
      </c>
      <c r="L126" s="13">
        <v>1</v>
      </c>
      <c r="M126" s="13">
        <v>1</v>
      </c>
      <c r="N126" s="425">
        <f t="shared" si="25"/>
        <v>0.16933510251023262</v>
      </c>
      <c r="O126" s="425">
        <f t="shared" si="26"/>
        <v>0.19908580854301616</v>
      </c>
      <c r="P126" s="42" t="s">
        <v>851</v>
      </c>
    </row>
    <row r="127" spans="1:16" s="436" customFormat="1" ht="15" thickBot="1">
      <c r="A127" s="635" t="s">
        <v>459</v>
      </c>
      <c r="B127" s="784" t="s">
        <v>463</v>
      </c>
      <c r="C127" s="34" t="s">
        <v>139</v>
      </c>
      <c r="D127" s="123" t="s">
        <v>99</v>
      </c>
      <c r="E127" s="753" t="s">
        <v>150</v>
      </c>
      <c r="F127" s="12">
        <v>1</v>
      </c>
      <c r="G127" s="12" t="s">
        <v>429</v>
      </c>
      <c r="H127" s="14"/>
      <c r="I127" s="14"/>
      <c r="J127" s="14"/>
      <c r="K127" s="14"/>
      <c r="L127" s="14"/>
      <c r="M127" s="14"/>
      <c r="N127" s="428" t="str">
        <f t="shared" si="25"/>
        <v/>
      </c>
      <c r="O127" s="428" t="str">
        <f t="shared" si="26"/>
        <v/>
      </c>
      <c r="P127" s="44" t="s">
        <v>1938</v>
      </c>
    </row>
    <row r="128" spans="1:16" s="436" customFormat="1">
      <c r="A128" s="637" t="s">
        <v>462</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1933</v>
      </c>
    </row>
    <row r="129" spans="1:16" s="436" customFormat="1">
      <c r="A129" s="313" t="s">
        <v>462</v>
      </c>
      <c r="B129" s="780" t="s">
        <v>232</v>
      </c>
      <c r="C129" s="34" t="s">
        <v>139</v>
      </c>
      <c r="D129" s="122" t="s">
        <v>99</v>
      </c>
      <c r="E129" s="242">
        <v>0.39400000000000002</v>
      </c>
      <c r="F129" s="9">
        <v>2</v>
      </c>
      <c r="G129" s="9" t="s">
        <v>429</v>
      </c>
      <c r="H129" s="10">
        <v>1</v>
      </c>
      <c r="I129" s="10">
        <v>2</v>
      </c>
      <c r="J129" s="10">
        <v>2</v>
      </c>
      <c r="K129" s="10">
        <v>1</v>
      </c>
      <c r="L129" s="10">
        <v>1</v>
      </c>
      <c r="M129" s="10">
        <v>1</v>
      </c>
      <c r="N129" s="405">
        <f t="shared" si="25"/>
        <v>0.16933510251023262</v>
      </c>
      <c r="O129" s="405">
        <f t="shared" si="26"/>
        <v>0.19908580854301616</v>
      </c>
      <c r="P129" s="9" t="s">
        <v>1957</v>
      </c>
    </row>
    <row r="130" spans="1:16" s="436" customFormat="1">
      <c r="A130" s="638" t="s">
        <v>462</v>
      </c>
      <c r="B130" s="775" t="s">
        <v>251</v>
      </c>
      <c r="C130" s="34" t="s">
        <v>139</v>
      </c>
      <c r="D130" s="124" t="s">
        <v>99</v>
      </c>
      <c r="E130" s="242">
        <v>0.52200000000000002</v>
      </c>
      <c r="F130" s="7">
        <v>1</v>
      </c>
      <c r="G130" s="9" t="s">
        <v>429</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1958</v>
      </c>
    </row>
    <row r="131" spans="1:16" s="436" customFormat="1" ht="15" thickBot="1">
      <c r="A131" s="638" t="s">
        <v>462</v>
      </c>
      <c r="B131" s="775" t="s">
        <v>258</v>
      </c>
      <c r="C131" s="34" t="s">
        <v>139</v>
      </c>
      <c r="D131" s="124" t="s">
        <v>99</v>
      </c>
      <c r="E131" s="749">
        <v>3.4000000000000002E-2</v>
      </c>
      <c r="F131" s="119">
        <v>2</v>
      </c>
      <c r="G131" s="9" t="s">
        <v>429</v>
      </c>
      <c r="H131" s="15"/>
      <c r="I131" s="15"/>
      <c r="J131" s="15"/>
      <c r="K131" s="15"/>
      <c r="L131" s="15"/>
      <c r="M131" s="15"/>
      <c r="N131" s="424"/>
      <c r="O131" s="424"/>
      <c r="P131" s="119" t="s">
        <v>1959</v>
      </c>
    </row>
    <row r="132" spans="1:16" s="436" customFormat="1">
      <c r="A132" s="634" t="s">
        <v>460</v>
      </c>
      <c r="B132" s="783" t="s">
        <v>464</v>
      </c>
      <c r="C132" s="34" t="s">
        <v>139</v>
      </c>
      <c r="D132" s="121" t="s">
        <v>99</v>
      </c>
      <c r="E132" s="632">
        <f>0.1*E126</f>
        <v>3.0000000000000001E-3</v>
      </c>
      <c r="F132" s="11">
        <v>2</v>
      </c>
      <c r="G132" s="11" t="s">
        <v>429</v>
      </c>
      <c r="H132" s="13">
        <v>1</v>
      </c>
      <c r="I132" s="13">
        <v>2</v>
      </c>
      <c r="J132" s="13">
        <v>2</v>
      </c>
      <c r="K132" s="13">
        <v>1</v>
      </c>
      <c r="L132" s="13">
        <v>1</v>
      </c>
      <c r="M132" s="13">
        <v>1</v>
      </c>
      <c r="N132" s="425">
        <f t="shared" si="27"/>
        <v>0.16933510251023262</v>
      </c>
      <c r="O132" s="425">
        <f t="shared" si="28"/>
        <v>0.19908580854301616</v>
      </c>
      <c r="P132" s="42" t="s">
        <v>852</v>
      </c>
    </row>
    <row r="133" spans="1:16" s="436" customFormat="1" ht="15" thickBot="1">
      <c r="A133" s="635" t="s">
        <v>460</v>
      </c>
      <c r="B133" s="784" t="s">
        <v>465</v>
      </c>
      <c r="C133" s="34" t="s">
        <v>139</v>
      </c>
      <c r="D133" s="123" t="s">
        <v>99</v>
      </c>
      <c r="E133" s="753" t="s">
        <v>150</v>
      </c>
      <c r="F133" s="12">
        <v>1</v>
      </c>
      <c r="G133" s="12" t="s">
        <v>429</v>
      </c>
      <c r="H133" s="14"/>
      <c r="I133" s="14"/>
      <c r="J133" s="14"/>
      <c r="K133" s="14"/>
      <c r="L133" s="14"/>
      <c r="M133" s="14"/>
      <c r="N133" s="428" t="str">
        <f t="shared" si="27"/>
        <v/>
      </c>
      <c r="O133" s="428" t="str">
        <f t="shared" si="28"/>
        <v/>
      </c>
      <c r="P133" s="44" t="s">
        <v>1938</v>
      </c>
    </row>
    <row r="134" spans="1:16" s="436" customFormat="1" ht="15" thickBot="1">
      <c r="A134" s="758" t="s">
        <v>464</v>
      </c>
      <c r="B134" s="777" t="s">
        <v>228</v>
      </c>
      <c r="C134" s="34" t="s">
        <v>139</v>
      </c>
      <c r="D134" s="787" t="s">
        <v>99</v>
      </c>
      <c r="E134" s="755">
        <v>1</v>
      </c>
      <c r="F134" s="754">
        <v>2</v>
      </c>
      <c r="G134" s="754" t="s">
        <v>429</v>
      </c>
      <c r="H134" s="71">
        <v>1</v>
      </c>
      <c r="I134" s="71">
        <v>2</v>
      </c>
      <c r="J134" s="71">
        <v>2</v>
      </c>
      <c r="K134" s="71">
        <v>1</v>
      </c>
      <c r="L134" s="71">
        <v>1</v>
      </c>
      <c r="M134" s="71">
        <v>1</v>
      </c>
      <c r="N134" s="759">
        <f t="shared" si="27"/>
        <v>0.16933510251023262</v>
      </c>
      <c r="O134" s="759">
        <f t="shared" si="28"/>
        <v>0.19908580854301616</v>
      </c>
      <c r="P134" s="754" t="s">
        <v>853</v>
      </c>
    </row>
    <row r="135" spans="1:16" s="436" customFormat="1">
      <c r="A135" s="634" t="s">
        <v>463</v>
      </c>
      <c r="B135" s="783" t="s">
        <v>231</v>
      </c>
      <c r="C135" s="34" t="s">
        <v>139</v>
      </c>
      <c r="D135" s="121" t="s">
        <v>99</v>
      </c>
      <c r="E135" s="632">
        <v>1.6000000000000001E-3</v>
      </c>
      <c r="F135" s="11">
        <v>2</v>
      </c>
      <c r="G135" s="118" t="s">
        <v>1993</v>
      </c>
      <c r="H135" s="13">
        <v>1</v>
      </c>
      <c r="I135" s="13">
        <v>2</v>
      </c>
      <c r="J135" s="13">
        <v>2</v>
      </c>
      <c r="K135" s="13">
        <v>1</v>
      </c>
      <c r="L135" s="15">
        <v>3</v>
      </c>
      <c r="M135" s="13">
        <v>3</v>
      </c>
      <c r="N135" s="425">
        <f t="shared" si="27"/>
        <v>1.0725046436742278</v>
      </c>
      <c r="O135" s="425">
        <f t="shared" si="28"/>
        <v>1.0776024280428556</v>
      </c>
      <c r="P135" s="42" t="s">
        <v>1966</v>
      </c>
    </row>
    <row r="136" spans="1:16" s="436" customFormat="1">
      <c r="A136" s="636" t="s">
        <v>463</v>
      </c>
      <c r="B136" s="780" t="s">
        <v>232</v>
      </c>
      <c r="C136" s="34" t="s">
        <v>139</v>
      </c>
      <c r="D136" s="122" t="s">
        <v>99</v>
      </c>
      <c r="E136" s="242">
        <v>1.26E-2</v>
      </c>
      <c r="F136" s="9">
        <v>2</v>
      </c>
      <c r="G136" s="9" t="s">
        <v>429</v>
      </c>
      <c r="H136" s="10">
        <v>1</v>
      </c>
      <c r="I136" s="10">
        <v>2</v>
      </c>
      <c r="J136" s="10">
        <v>2</v>
      </c>
      <c r="K136" s="10">
        <v>1</v>
      </c>
      <c r="L136" s="10">
        <v>1</v>
      </c>
      <c r="M136" s="10">
        <v>1</v>
      </c>
      <c r="N136" s="405">
        <f t="shared" si="27"/>
        <v>0.16933510251023262</v>
      </c>
      <c r="O136" s="405">
        <f t="shared" si="28"/>
        <v>0.19908580854301616</v>
      </c>
      <c r="P136" s="43" t="s">
        <v>1967</v>
      </c>
    </row>
    <row r="137" spans="1:16" s="436" customFormat="1">
      <c r="A137" s="636" t="s">
        <v>463</v>
      </c>
      <c r="B137" s="780" t="s">
        <v>251</v>
      </c>
      <c r="C137" s="34" t="s">
        <v>139</v>
      </c>
      <c r="D137" s="122" t="s">
        <v>99</v>
      </c>
      <c r="E137" s="242">
        <v>1.67E-2</v>
      </c>
      <c r="F137" s="9">
        <v>2</v>
      </c>
      <c r="G137" s="9" t="s">
        <v>429</v>
      </c>
      <c r="H137" s="10">
        <v>1</v>
      </c>
      <c r="I137" s="10">
        <v>2</v>
      </c>
      <c r="J137" s="10">
        <v>2</v>
      </c>
      <c r="K137" s="10">
        <v>1</v>
      </c>
      <c r="L137" s="10">
        <v>1</v>
      </c>
      <c r="M137" s="10">
        <v>1</v>
      </c>
      <c r="N137" s="405">
        <f t="shared" si="27"/>
        <v>0.16933510251023262</v>
      </c>
      <c r="O137" s="405">
        <f t="shared" si="28"/>
        <v>0.19908580854301616</v>
      </c>
      <c r="P137" s="43" t="s">
        <v>1978</v>
      </c>
    </row>
    <row r="138" spans="1:16" s="436" customFormat="1">
      <c r="A138" s="636" t="s">
        <v>463</v>
      </c>
      <c r="B138" s="775" t="s">
        <v>258</v>
      </c>
      <c r="C138" s="34" t="s">
        <v>139</v>
      </c>
      <c r="D138" s="124" t="s">
        <v>99</v>
      </c>
      <c r="E138" s="749">
        <v>1.1000000000000001E-3</v>
      </c>
      <c r="F138" s="119">
        <v>2</v>
      </c>
      <c r="G138" s="119" t="s">
        <v>429</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1968</v>
      </c>
    </row>
    <row r="139" spans="1:16" s="436" customFormat="1" ht="15" thickBot="1">
      <c r="A139" s="635" t="s">
        <v>463</v>
      </c>
      <c r="B139" s="784" t="s">
        <v>333</v>
      </c>
      <c r="C139" s="34" t="s">
        <v>139</v>
      </c>
      <c r="D139" s="123" t="s">
        <v>99</v>
      </c>
      <c r="E139" s="753" t="s">
        <v>150</v>
      </c>
      <c r="F139" s="12">
        <v>1</v>
      </c>
      <c r="G139" s="12" t="s">
        <v>429</v>
      </c>
      <c r="H139" s="14"/>
      <c r="I139" s="14"/>
      <c r="J139" s="14"/>
      <c r="K139" s="14"/>
      <c r="L139" s="14"/>
      <c r="M139" s="14"/>
      <c r="N139" s="428" t="str">
        <f t="shared" si="27"/>
        <v/>
      </c>
      <c r="O139" s="428" t="str">
        <f t="shared" si="28"/>
        <v/>
      </c>
      <c r="P139" s="44"/>
    </row>
    <row r="140" spans="1:16" s="436" customFormat="1">
      <c r="A140" s="637" t="s">
        <v>465</v>
      </c>
      <c r="B140" s="774" t="s">
        <v>228</v>
      </c>
      <c r="C140" s="34" t="s">
        <v>139</v>
      </c>
      <c r="D140" s="614" t="s">
        <v>99</v>
      </c>
      <c r="E140" s="744">
        <v>3.2000000000000001E-2</v>
      </c>
      <c r="F140" s="118">
        <v>2</v>
      </c>
      <c r="G140" s="118" t="s">
        <v>429</v>
      </c>
      <c r="H140" s="66">
        <v>1</v>
      </c>
      <c r="I140" s="66">
        <v>2</v>
      </c>
      <c r="J140" s="66">
        <v>2</v>
      </c>
      <c r="K140" s="66">
        <v>1</v>
      </c>
      <c r="L140" s="66">
        <v>1</v>
      </c>
      <c r="M140" s="66">
        <v>1</v>
      </c>
      <c r="N140" s="438">
        <f t="shared" si="27"/>
        <v>0.16933510251023262</v>
      </c>
      <c r="O140" s="438">
        <f t="shared" si="28"/>
        <v>0.19908580854301616</v>
      </c>
      <c r="P140" s="118" t="s">
        <v>857</v>
      </c>
    </row>
    <row r="141" spans="1:16" s="436" customFormat="1" ht="15" thickBot="1">
      <c r="A141" s="638" t="s">
        <v>465</v>
      </c>
      <c r="B141" s="775" t="s">
        <v>333</v>
      </c>
      <c r="C141" s="34" t="s">
        <v>139</v>
      </c>
      <c r="D141" s="124" t="s">
        <v>99</v>
      </c>
      <c r="E141" s="749" t="s">
        <v>150</v>
      </c>
      <c r="F141" s="119">
        <v>1</v>
      </c>
      <c r="G141" s="119" t="s">
        <v>429</v>
      </c>
      <c r="H141" s="15"/>
      <c r="I141" s="15"/>
      <c r="J141" s="15"/>
      <c r="K141" s="15"/>
      <c r="L141" s="15"/>
      <c r="M141" s="15"/>
      <c r="N141" s="424" t="str">
        <f t="shared" si="27"/>
        <v/>
      </c>
      <c r="O141" s="424" t="str">
        <f t="shared" si="28"/>
        <v/>
      </c>
      <c r="P141" s="119" t="s">
        <v>1939</v>
      </c>
    </row>
    <row r="142" spans="1:16" s="436" customFormat="1">
      <c r="A142" s="634" t="s">
        <v>432</v>
      </c>
      <c r="B142" s="783" t="s">
        <v>466</v>
      </c>
      <c r="C142" s="34" t="s">
        <v>139</v>
      </c>
      <c r="D142" s="121" t="s">
        <v>99</v>
      </c>
      <c r="E142" s="632">
        <f>0.97*0.07</f>
        <v>6.7900000000000002E-2</v>
      </c>
      <c r="F142" s="11">
        <v>2</v>
      </c>
      <c r="G142" s="11" t="s">
        <v>429</v>
      </c>
      <c r="H142" s="13">
        <v>1</v>
      </c>
      <c r="I142" s="13">
        <v>2</v>
      </c>
      <c r="J142" s="13">
        <v>2</v>
      </c>
      <c r="K142" s="13">
        <v>1</v>
      </c>
      <c r="L142" s="13">
        <v>1</v>
      </c>
      <c r="M142" s="13">
        <v>1</v>
      </c>
      <c r="N142" s="425">
        <f t="shared" si="27"/>
        <v>0.16933510251023262</v>
      </c>
      <c r="O142" s="425">
        <f t="shared" si="28"/>
        <v>0.19908580854301616</v>
      </c>
      <c r="P142" s="42" t="s">
        <v>860</v>
      </c>
    </row>
    <row r="143" spans="1:16" s="436" customFormat="1">
      <c r="A143" s="636" t="s">
        <v>432</v>
      </c>
      <c r="B143" s="780" t="s">
        <v>467</v>
      </c>
      <c r="C143" s="34" t="s">
        <v>139</v>
      </c>
      <c r="D143" s="122" t="s">
        <v>99</v>
      </c>
      <c r="E143" s="242">
        <f>0.97*0.93</f>
        <v>0.90210000000000001</v>
      </c>
      <c r="F143" s="9">
        <v>2</v>
      </c>
      <c r="G143" s="9" t="s">
        <v>429</v>
      </c>
      <c r="H143" s="10">
        <v>1</v>
      </c>
      <c r="I143" s="10">
        <v>2</v>
      </c>
      <c r="J143" s="10">
        <v>2</v>
      </c>
      <c r="K143" s="10">
        <v>1</v>
      </c>
      <c r="L143" s="10">
        <v>1</v>
      </c>
      <c r="M143" s="10">
        <v>1</v>
      </c>
      <c r="N143" s="405">
        <f t="shared" si="27"/>
        <v>0.16933510251023262</v>
      </c>
      <c r="O143" s="405">
        <f t="shared" si="28"/>
        <v>0.19908580854301616</v>
      </c>
      <c r="P143" s="43" t="s">
        <v>861</v>
      </c>
    </row>
    <row r="144" spans="1:16" s="436" customFormat="1" ht="15" thickBot="1">
      <c r="A144" s="635" t="s">
        <v>432</v>
      </c>
      <c r="B144" s="784" t="s">
        <v>223</v>
      </c>
      <c r="C144" s="34" t="s">
        <v>139</v>
      </c>
      <c r="D144" s="123" t="s">
        <v>99</v>
      </c>
      <c r="E144" s="753">
        <v>0.03</v>
      </c>
      <c r="F144" s="12">
        <v>1</v>
      </c>
      <c r="G144" s="12" t="s">
        <v>429</v>
      </c>
      <c r="H144" s="14">
        <v>1</v>
      </c>
      <c r="I144" s="14">
        <v>2</v>
      </c>
      <c r="J144" s="14">
        <v>2</v>
      </c>
      <c r="K144" s="14">
        <v>1</v>
      </c>
      <c r="L144" s="14">
        <v>1</v>
      </c>
      <c r="M144" s="14">
        <v>1</v>
      </c>
      <c r="N144" s="428">
        <f t="shared" si="27"/>
        <v>0.16933510251023262</v>
      </c>
      <c r="O144" s="428">
        <f t="shared" si="28"/>
        <v>0.19908580854301616</v>
      </c>
      <c r="P144" s="44" t="s">
        <v>850</v>
      </c>
    </row>
    <row r="145" spans="1:16" s="436" customFormat="1">
      <c r="A145" s="774" t="s">
        <v>466</v>
      </c>
      <c r="B145" s="437" t="s">
        <v>469</v>
      </c>
      <c r="C145" s="34" t="s">
        <v>139</v>
      </c>
      <c r="D145" s="121" t="s">
        <v>99</v>
      </c>
      <c r="E145" s="632">
        <v>0.03</v>
      </c>
      <c r="F145" s="11">
        <v>2</v>
      </c>
      <c r="G145" s="11" t="s">
        <v>429</v>
      </c>
      <c r="H145" s="13">
        <v>1</v>
      </c>
      <c r="I145" s="13">
        <v>2</v>
      </c>
      <c r="J145" s="13">
        <v>2</v>
      </c>
      <c r="K145" s="13">
        <v>1</v>
      </c>
      <c r="L145" s="13">
        <v>1</v>
      </c>
      <c r="M145" s="13">
        <v>1</v>
      </c>
      <c r="N145" s="425">
        <f t="shared" si="27"/>
        <v>0.16933510251023262</v>
      </c>
      <c r="O145" s="425">
        <f t="shared" si="28"/>
        <v>0.19908580854301616</v>
      </c>
      <c r="P145" s="42" t="s">
        <v>851</v>
      </c>
    </row>
    <row r="146" spans="1:16" s="436" customFormat="1" ht="15" thickBot="1">
      <c r="A146" s="775" t="s">
        <v>466</v>
      </c>
      <c r="B146" s="773" t="s">
        <v>470</v>
      </c>
      <c r="C146" s="34" t="s">
        <v>139</v>
      </c>
      <c r="D146" s="123" t="s">
        <v>99</v>
      </c>
      <c r="E146" s="753" t="s">
        <v>150</v>
      </c>
      <c r="F146" s="12">
        <v>1</v>
      </c>
      <c r="G146" s="12" t="s">
        <v>429</v>
      </c>
      <c r="H146" s="14"/>
      <c r="I146" s="14"/>
      <c r="J146" s="14"/>
      <c r="K146" s="14"/>
      <c r="L146" s="14"/>
      <c r="M146" s="14"/>
      <c r="N146" s="428" t="str">
        <f t="shared" si="27"/>
        <v/>
      </c>
      <c r="O146" s="428" t="str">
        <f t="shared" si="28"/>
        <v/>
      </c>
      <c r="P146" s="44" t="s">
        <v>1940</v>
      </c>
    </row>
    <row r="147" spans="1:16" s="436" customFormat="1">
      <c r="A147" s="634" t="s">
        <v>469</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1933</v>
      </c>
    </row>
    <row r="148" spans="1:16" s="436" customFormat="1">
      <c r="A148" s="636" t="s">
        <v>469</v>
      </c>
      <c r="B148" s="780" t="s">
        <v>232</v>
      </c>
      <c r="C148" s="34" t="s">
        <v>139</v>
      </c>
      <c r="D148" s="122" t="s">
        <v>99</v>
      </c>
      <c r="E148" s="242">
        <v>0.39400000000000002</v>
      </c>
      <c r="F148" s="9">
        <v>2</v>
      </c>
      <c r="G148" s="9" t="s">
        <v>429</v>
      </c>
      <c r="H148" s="10">
        <v>1</v>
      </c>
      <c r="I148" s="10">
        <v>2</v>
      </c>
      <c r="J148" s="10">
        <v>2</v>
      </c>
      <c r="K148" s="10">
        <v>1</v>
      </c>
      <c r="L148" s="10">
        <v>1</v>
      </c>
      <c r="M148" s="10">
        <v>1</v>
      </c>
      <c r="N148" s="405">
        <f t="shared" si="27"/>
        <v>0.16933510251023262</v>
      </c>
      <c r="O148" s="405">
        <f t="shared" si="28"/>
        <v>0.19908580854301616</v>
      </c>
      <c r="P148" s="43" t="s">
        <v>1957</v>
      </c>
    </row>
    <row r="149" spans="1:16" s="436" customFormat="1">
      <c r="A149" s="636" t="s">
        <v>469</v>
      </c>
      <c r="B149" s="780" t="s">
        <v>251</v>
      </c>
      <c r="C149" s="34" t="s">
        <v>139</v>
      </c>
      <c r="D149" s="122" t="s">
        <v>99</v>
      </c>
      <c r="E149" s="242">
        <v>0.52200000000000002</v>
      </c>
      <c r="F149" s="7">
        <v>1</v>
      </c>
      <c r="G149" s="9" t="s">
        <v>429</v>
      </c>
      <c r="H149" s="10">
        <v>1</v>
      </c>
      <c r="I149" s="10">
        <v>2</v>
      </c>
      <c r="J149" s="10">
        <v>2</v>
      </c>
      <c r="K149" s="10">
        <v>1</v>
      </c>
      <c r="L149" s="10">
        <v>1</v>
      </c>
      <c r="M149" s="10">
        <v>1</v>
      </c>
      <c r="N149" s="405">
        <f t="shared" si="27"/>
        <v>0.16933510251023262</v>
      </c>
      <c r="O149" s="405">
        <f t="shared" si="28"/>
        <v>0.19908580854301616</v>
      </c>
      <c r="P149" s="43" t="s">
        <v>1958</v>
      </c>
    </row>
    <row r="150" spans="1:16" s="436" customFormat="1" ht="15" thickBot="1">
      <c r="A150" s="635" t="s">
        <v>469</v>
      </c>
      <c r="B150" s="775" t="s">
        <v>258</v>
      </c>
      <c r="C150" s="34" t="s">
        <v>139</v>
      </c>
      <c r="D150" s="124" t="s">
        <v>99</v>
      </c>
      <c r="E150" s="749">
        <v>3.4000000000000002E-2</v>
      </c>
      <c r="F150" s="119">
        <v>2</v>
      </c>
      <c r="G150" s="119" t="s">
        <v>429</v>
      </c>
      <c r="H150" s="15"/>
      <c r="I150" s="15"/>
      <c r="J150" s="15"/>
      <c r="K150" s="15"/>
      <c r="L150" s="15"/>
      <c r="M150" s="15"/>
      <c r="N150" s="424"/>
      <c r="O150" s="424"/>
      <c r="P150" s="155" t="s">
        <v>1959</v>
      </c>
    </row>
    <row r="151" spans="1:16" s="436" customFormat="1">
      <c r="A151" s="774" t="s">
        <v>467</v>
      </c>
      <c r="B151" s="437" t="s">
        <v>471</v>
      </c>
      <c r="C151" s="34" t="s">
        <v>139</v>
      </c>
      <c r="D151" s="121" t="s">
        <v>99</v>
      </c>
      <c r="E151" s="632">
        <f>0.1*E145</f>
        <v>3.0000000000000001E-3</v>
      </c>
      <c r="F151" s="11">
        <v>2</v>
      </c>
      <c r="G151" s="11" t="s">
        <v>429</v>
      </c>
      <c r="H151" s="13">
        <v>1</v>
      </c>
      <c r="I151" s="13">
        <v>2</v>
      </c>
      <c r="J151" s="13">
        <v>2</v>
      </c>
      <c r="K151" s="13">
        <v>1</v>
      </c>
      <c r="L151" s="13">
        <v>1</v>
      </c>
      <c r="M151" s="13">
        <v>1</v>
      </c>
      <c r="N151" s="425">
        <f t="shared" si="27"/>
        <v>0.16933510251023262</v>
      </c>
      <c r="O151" s="425">
        <f t="shared" si="28"/>
        <v>0.19908580854301616</v>
      </c>
      <c r="P151" s="42" t="s">
        <v>852</v>
      </c>
    </row>
    <row r="152" spans="1:16" s="436" customFormat="1" ht="15" thickBot="1">
      <c r="A152" s="775" t="s">
        <v>467</v>
      </c>
      <c r="B152" s="773" t="s">
        <v>472</v>
      </c>
      <c r="C152" s="34" t="s">
        <v>139</v>
      </c>
      <c r="D152" s="123" t="s">
        <v>99</v>
      </c>
      <c r="E152" s="753" t="s">
        <v>150</v>
      </c>
      <c r="F152" s="12">
        <v>1</v>
      </c>
      <c r="G152" s="12" t="s">
        <v>429</v>
      </c>
      <c r="H152" s="14"/>
      <c r="I152" s="14"/>
      <c r="J152" s="14"/>
      <c r="K152" s="14"/>
      <c r="L152" s="14"/>
      <c r="M152" s="14"/>
      <c r="N152" s="428" t="str">
        <f t="shared" si="27"/>
        <v/>
      </c>
      <c r="O152" s="428" t="str">
        <f t="shared" si="28"/>
        <v/>
      </c>
      <c r="P152" s="44" t="s">
        <v>1940</v>
      </c>
    </row>
    <row r="153" spans="1:16" s="436" customFormat="1" ht="15" thickBot="1">
      <c r="A153" s="633" t="s">
        <v>471</v>
      </c>
      <c r="B153" s="785" t="s">
        <v>228</v>
      </c>
      <c r="C153" s="34" t="s">
        <v>139</v>
      </c>
      <c r="D153" s="781" t="s">
        <v>99</v>
      </c>
      <c r="E153" s="751">
        <v>1</v>
      </c>
      <c r="F153" s="750">
        <v>2</v>
      </c>
      <c r="G153" s="750" t="s">
        <v>429</v>
      </c>
      <c r="H153" s="70">
        <v>1</v>
      </c>
      <c r="I153" s="70">
        <v>2</v>
      </c>
      <c r="J153" s="70">
        <v>2</v>
      </c>
      <c r="K153" s="70">
        <v>1</v>
      </c>
      <c r="L153" s="70">
        <v>1</v>
      </c>
      <c r="M153" s="70">
        <v>1</v>
      </c>
      <c r="N153" s="439">
        <f t="shared" si="27"/>
        <v>0.16933510251023262</v>
      </c>
      <c r="O153" s="439">
        <f t="shared" si="28"/>
        <v>0.19908580854301616</v>
      </c>
      <c r="P153" s="752" t="s">
        <v>853</v>
      </c>
    </row>
    <row r="154" spans="1:16" s="436" customFormat="1">
      <c r="A154" s="637" t="s">
        <v>470</v>
      </c>
      <c r="B154" s="783" t="s">
        <v>231</v>
      </c>
      <c r="C154" s="34" t="s">
        <v>139</v>
      </c>
      <c r="D154" s="614" t="s">
        <v>99</v>
      </c>
      <c r="E154" s="744">
        <v>0</v>
      </c>
      <c r="F154" s="118">
        <v>2</v>
      </c>
      <c r="G154" s="118" t="s">
        <v>429</v>
      </c>
      <c r="H154" s="66">
        <v>1</v>
      </c>
      <c r="I154" s="66">
        <v>2</v>
      </c>
      <c r="J154" s="66">
        <v>2</v>
      </c>
      <c r="K154" s="66">
        <v>1</v>
      </c>
      <c r="L154" s="15">
        <v>1</v>
      </c>
      <c r="M154" s="13">
        <v>1</v>
      </c>
      <c r="N154" s="438">
        <f t="shared" si="27"/>
        <v>0.16933510251023262</v>
      </c>
      <c r="O154" s="438">
        <f t="shared" si="28"/>
        <v>0.19908580854301616</v>
      </c>
      <c r="P154" s="42" t="s">
        <v>1965</v>
      </c>
    </row>
    <row r="155" spans="1:16" s="436" customFormat="1">
      <c r="A155" s="313" t="s">
        <v>470</v>
      </c>
      <c r="B155" s="780" t="s">
        <v>232</v>
      </c>
      <c r="C155" s="34" t="s">
        <v>139</v>
      </c>
      <c r="D155" s="122" t="s">
        <v>99</v>
      </c>
      <c r="E155" s="242">
        <v>0</v>
      </c>
      <c r="F155" s="9">
        <v>2</v>
      </c>
      <c r="G155" s="9" t="s">
        <v>429</v>
      </c>
      <c r="H155" s="10">
        <v>1</v>
      </c>
      <c r="I155" s="10">
        <v>2</v>
      </c>
      <c r="J155" s="10">
        <v>2</v>
      </c>
      <c r="K155" s="10">
        <v>1</v>
      </c>
      <c r="L155" s="10">
        <v>1</v>
      </c>
      <c r="M155" s="10">
        <v>1</v>
      </c>
      <c r="N155" s="405">
        <f t="shared" si="27"/>
        <v>0.16933510251023262</v>
      </c>
      <c r="O155" s="405">
        <f t="shared" si="28"/>
        <v>0.19908580854301616</v>
      </c>
      <c r="P155" s="43" t="s">
        <v>1965</v>
      </c>
    </row>
    <row r="156" spans="1:16" s="436" customFormat="1">
      <c r="A156" s="313" t="s">
        <v>470</v>
      </c>
      <c r="B156" s="780" t="s">
        <v>251</v>
      </c>
      <c r="C156" s="34" t="s">
        <v>139</v>
      </c>
      <c r="D156" s="122" t="s">
        <v>99</v>
      </c>
      <c r="E156" s="242">
        <v>0</v>
      </c>
      <c r="F156" s="9">
        <v>2</v>
      </c>
      <c r="G156" s="9" t="s">
        <v>429</v>
      </c>
      <c r="H156" s="10">
        <v>1</v>
      </c>
      <c r="I156" s="10">
        <v>2</v>
      </c>
      <c r="J156" s="10">
        <v>2</v>
      </c>
      <c r="K156" s="10">
        <v>1</v>
      </c>
      <c r="L156" s="10">
        <v>1</v>
      </c>
      <c r="M156" s="10">
        <v>1</v>
      </c>
      <c r="N156" s="405">
        <f t="shared" si="27"/>
        <v>0.16933510251023262</v>
      </c>
      <c r="O156" s="405">
        <f t="shared" si="28"/>
        <v>0.19908580854301616</v>
      </c>
      <c r="P156" s="43" t="s">
        <v>1965</v>
      </c>
    </row>
    <row r="157" spans="1:16" s="436" customFormat="1">
      <c r="A157" s="313" t="s">
        <v>470</v>
      </c>
      <c r="B157" s="775" t="s">
        <v>258</v>
      </c>
      <c r="C157" s="34" t="s">
        <v>139</v>
      </c>
      <c r="D157" s="124" t="s">
        <v>99</v>
      </c>
      <c r="E157" s="749">
        <v>0</v>
      </c>
      <c r="F157" s="119">
        <v>2</v>
      </c>
      <c r="G157" s="119" t="s">
        <v>429</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1965</v>
      </c>
    </row>
    <row r="158" spans="1:16" s="436" customFormat="1" ht="15" thickBot="1">
      <c r="A158" s="638" t="s">
        <v>470</v>
      </c>
      <c r="B158" s="784" t="s">
        <v>333</v>
      </c>
      <c r="C158" s="34" t="s">
        <v>139</v>
      </c>
      <c r="D158" s="124" t="s">
        <v>99</v>
      </c>
      <c r="E158" s="749" t="s">
        <v>150</v>
      </c>
      <c r="F158" s="119">
        <v>1</v>
      </c>
      <c r="G158" s="119" t="s">
        <v>429</v>
      </c>
      <c r="H158" s="15"/>
      <c r="I158" s="15"/>
      <c r="J158" s="15"/>
      <c r="K158" s="15"/>
      <c r="L158" s="15"/>
      <c r="M158" s="15"/>
      <c r="N158" s="424" t="str">
        <f t="shared" si="27"/>
        <v/>
      </c>
      <c r="O158" s="424" t="str">
        <f t="shared" si="28"/>
        <v/>
      </c>
      <c r="P158" s="44"/>
    </row>
    <row r="159" spans="1:16" s="436" customFormat="1">
      <c r="A159" s="634" t="s">
        <v>472</v>
      </c>
      <c r="B159" s="783" t="s">
        <v>228</v>
      </c>
      <c r="C159" s="34" t="s">
        <v>139</v>
      </c>
      <c r="D159" s="121" t="s">
        <v>99</v>
      </c>
      <c r="E159" s="632">
        <v>0</v>
      </c>
      <c r="F159" s="11">
        <v>2</v>
      </c>
      <c r="G159" s="11" t="s">
        <v>429</v>
      </c>
      <c r="H159" s="13">
        <v>1</v>
      </c>
      <c r="I159" s="13">
        <v>2</v>
      </c>
      <c r="J159" s="13">
        <v>2</v>
      </c>
      <c r="K159" s="13">
        <v>1</v>
      </c>
      <c r="L159" s="13">
        <v>1</v>
      </c>
      <c r="M159" s="13">
        <v>1</v>
      </c>
      <c r="N159" s="425">
        <f t="shared" si="27"/>
        <v>0.16933510251023262</v>
      </c>
      <c r="O159" s="425">
        <f t="shared" si="28"/>
        <v>0.19908580854301616</v>
      </c>
      <c r="P159" s="42" t="s">
        <v>854</v>
      </c>
    </row>
    <row r="160" spans="1:16" s="436" customFormat="1" ht="15" thickBot="1">
      <c r="A160" s="635" t="s">
        <v>472</v>
      </c>
      <c r="B160" s="784" t="s">
        <v>333</v>
      </c>
      <c r="C160" s="34" t="s">
        <v>139</v>
      </c>
      <c r="D160" s="123" t="s">
        <v>99</v>
      </c>
      <c r="E160" s="753" t="s">
        <v>150</v>
      </c>
      <c r="F160" s="12">
        <v>1</v>
      </c>
      <c r="G160" s="12" t="s">
        <v>429</v>
      </c>
      <c r="H160" s="14"/>
      <c r="I160" s="14"/>
      <c r="J160" s="14"/>
      <c r="K160" s="14"/>
      <c r="L160" s="14"/>
      <c r="M160" s="14"/>
      <c r="N160" s="428" t="str">
        <f t="shared" si="27"/>
        <v/>
      </c>
      <c r="O160" s="428" t="str">
        <f t="shared" si="28"/>
        <v/>
      </c>
      <c r="P160" s="44" t="s">
        <v>1941</v>
      </c>
    </row>
    <row r="161" spans="1:16" s="436" customFormat="1">
      <c r="A161" s="637" t="s">
        <v>433</v>
      </c>
      <c r="B161" s="774" t="s">
        <v>474</v>
      </c>
      <c r="C161" s="34" t="s">
        <v>139</v>
      </c>
      <c r="D161" s="614" t="s">
        <v>99</v>
      </c>
      <c r="E161" s="744">
        <f>0.97*0.03</f>
        <v>2.9099999999999997E-2</v>
      </c>
      <c r="F161" s="118">
        <v>2</v>
      </c>
      <c r="G161" s="118" t="s">
        <v>429</v>
      </c>
      <c r="H161" s="66">
        <v>1</v>
      </c>
      <c r="I161" s="66">
        <v>2</v>
      </c>
      <c r="J161" s="66">
        <v>2</v>
      </c>
      <c r="K161" s="66">
        <v>1</v>
      </c>
      <c r="L161" s="66">
        <v>1</v>
      </c>
      <c r="M161" s="66">
        <v>1</v>
      </c>
      <c r="N161" s="438">
        <f t="shared" si="27"/>
        <v>0.16933510251023262</v>
      </c>
      <c r="O161" s="438">
        <f t="shared" si="28"/>
        <v>0.19908580854301616</v>
      </c>
      <c r="P161" s="118" t="s">
        <v>862</v>
      </c>
    </row>
    <row r="162" spans="1:16" s="436" customFormat="1">
      <c r="A162" s="313" t="s">
        <v>433</v>
      </c>
      <c r="B162" s="780" t="s">
        <v>475</v>
      </c>
      <c r="C162" s="34" t="s">
        <v>139</v>
      </c>
      <c r="D162" s="122" t="s">
        <v>99</v>
      </c>
      <c r="E162" s="242">
        <f>0.97*0.97</f>
        <v>0.94089999999999996</v>
      </c>
      <c r="F162" s="9">
        <v>2</v>
      </c>
      <c r="G162" s="9" t="s">
        <v>429</v>
      </c>
      <c r="H162" s="10">
        <v>1</v>
      </c>
      <c r="I162" s="10">
        <v>2</v>
      </c>
      <c r="J162" s="10">
        <v>2</v>
      </c>
      <c r="K162" s="10">
        <v>1</v>
      </c>
      <c r="L162" s="10">
        <v>1</v>
      </c>
      <c r="M162" s="10">
        <v>1</v>
      </c>
      <c r="N162" s="405">
        <f t="shared" si="27"/>
        <v>0.16933510251023262</v>
      </c>
      <c r="O162" s="405">
        <f t="shared" si="28"/>
        <v>0.19908580854301616</v>
      </c>
      <c r="P162" s="9" t="s">
        <v>863</v>
      </c>
    </row>
    <row r="163" spans="1:16" s="436" customFormat="1" ht="15" thickBot="1">
      <c r="A163" s="638" t="s">
        <v>433</v>
      </c>
      <c r="B163" s="775" t="s">
        <v>223</v>
      </c>
      <c r="C163" s="34" t="s">
        <v>139</v>
      </c>
      <c r="D163" s="124" t="s">
        <v>99</v>
      </c>
      <c r="E163" s="749">
        <v>0.03</v>
      </c>
      <c r="F163" s="119">
        <v>1</v>
      </c>
      <c r="G163" s="119" t="s">
        <v>429</v>
      </c>
      <c r="H163" s="15">
        <v>1</v>
      </c>
      <c r="I163" s="15">
        <v>2</v>
      </c>
      <c r="J163" s="15">
        <v>2</v>
      </c>
      <c r="K163" s="15">
        <v>1</v>
      </c>
      <c r="L163" s="15">
        <v>1</v>
      </c>
      <c r="M163" s="15">
        <v>1</v>
      </c>
      <c r="N163" s="424">
        <f t="shared" si="27"/>
        <v>0.16933510251023262</v>
      </c>
      <c r="O163" s="424">
        <f t="shared" si="28"/>
        <v>0.19908580854301616</v>
      </c>
      <c r="P163" s="119" t="s">
        <v>850</v>
      </c>
    </row>
    <row r="164" spans="1:16" s="436" customFormat="1">
      <c r="A164" s="634" t="s">
        <v>474</v>
      </c>
      <c r="B164" s="783" t="s">
        <v>477</v>
      </c>
      <c r="C164" s="34" t="s">
        <v>139</v>
      </c>
      <c r="D164" s="121" t="s">
        <v>99</v>
      </c>
      <c r="E164" s="632">
        <v>0.03</v>
      </c>
      <c r="F164" s="11">
        <v>2</v>
      </c>
      <c r="G164" s="11" t="s">
        <v>429</v>
      </c>
      <c r="H164" s="13">
        <v>1</v>
      </c>
      <c r="I164" s="13">
        <v>2</v>
      </c>
      <c r="J164" s="13">
        <v>2</v>
      </c>
      <c r="K164" s="13">
        <v>1</v>
      </c>
      <c r="L164" s="13">
        <v>1</v>
      </c>
      <c r="M164" s="13">
        <v>1</v>
      </c>
      <c r="N164" s="425">
        <f t="shared" si="27"/>
        <v>0.16933510251023262</v>
      </c>
      <c r="O164" s="425">
        <f t="shared" si="28"/>
        <v>0.19908580854301616</v>
      </c>
      <c r="P164" s="42" t="s">
        <v>851</v>
      </c>
    </row>
    <row r="165" spans="1:16" s="436" customFormat="1" ht="15" thickBot="1">
      <c r="A165" s="635" t="s">
        <v>474</v>
      </c>
      <c r="B165" s="784" t="s">
        <v>478</v>
      </c>
      <c r="C165" s="34" t="s">
        <v>139</v>
      </c>
      <c r="D165" s="123" t="s">
        <v>99</v>
      </c>
      <c r="E165" s="753" t="s">
        <v>150</v>
      </c>
      <c r="F165" s="12">
        <v>1</v>
      </c>
      <c r="G165" s="12" t="s">
        <v>429</v>
      </c>
      <c r="H165" s="14"/>
      <c r="I165" s="14"/>
      <c r="J165" s="14"/>
      <c r="K165" s="14"/>
      <c r="L165" s="14"/>
      <c r="M165" s="14"/>
      <c r="N165" s="428" t="str">
        <f t="shared" si="27"/>
        <v/>
      </c>
      <c r="O165" s="428" t="str">
        <f t="shared" si="28"/>
        <v/>
      </c>
      <c r="P165" s="44" t="s">
        <v>1942</v>
      </c>
    </row>
    <row r="166" spans="1:16" s="436" customFormat="1">
      <c r="A166" s="637" t="s">
        <v>477</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1933</v>
      </c>
    </row>
    <row r="167" spans="1:16" s="436" customFormat="1">
      <c r="A167" s="313" t="s">
        <v>477</v>
      </c>
      <c r="B167" s="780" t="s">
        <v>232</v>
      </c>
      <c r="C167" s="34" t="s">
        <v>139</v>
      </c>
      <c r="D167" s="122" t="s">
        <v>99</v>
      </c>
      <c r="E167" s="242">
        <v>0.39400000000000002</v>
      </c>
      <c r="F167" s="9">
        <v>2</v>
      </c>
      <c r="G167" s="9" t="s">
        <v>429</v>
      </c>
      <c r="H167" s="10">
        <v>1</v>
      </c>
      <c r="I167" s="10">
        <v>2</v>
      </c>
      <c r="J167" s="10">
        <v>2</v>
      </c>
      <c r="K167" s="10">
        <v>1</v>
      </c>
      <c r="L167" s="10">
        <v>1</v>
      </c>
      <c r="M167" s="10">
        <v>1</v>
      </c>
      <c r="N167" s="405">
        <f t="shared" si="27"/>
        <v>0.16933510251023262</v>
      </c>
      <c r="O167" s="405">
        <f t="shared" si="28"/>
        <v>0.19908580854301616</v>
      </c>
      <c r="P167" s="9" t="s">
        <v>1957</v>
      </c>
    </row>
    <row r="168" spans="1:16" s="436" customFormat="1">
      <c r="A168" s="638" t="s">
        <v>477</v>
      </c>
      <c r="B168" s="775" t="s">
        <v>251</v>
      </c>
      <c r="C168" s="34" t="s">
        <v>139</v>
      </c>
      <c r="D168" s="124" t="s">
        <v>99</v>
      </c>
      <c r="E168" s="242">
        <v>0.52200000000000002</v>
      </c>
      <c r="F168" s="7">
        <v>1</v>
      </c>
      <c r="G168" s="9" t="s">
        <v>429</v>
      </c>
      <c r="H168" s="15">
        <v>1</v>
      </c>
      <c r="I168" s="15">
        <v>2</v>
      </c>
      <c r="J168" s="15">
        <v>2</v>
      </c>
      <c r="K168" s="15">
        <v>1</v>
      </c>
      <c r="L168" s="15">
        <v>1</v>
      </c>
      <c r="M168" s="15">
        <v>1</v>
      </c>
      <c r="N168" s="424">
        <f t="shared" si="27"/>
        <v>0.16933510251023262</v>
      </c>
      <c r="O168" s="424">
        <f t="shared" si="28"/>
        <v>0.19908580854301616</v>
      </c>
      <c r="P168" s="9" t="s">
        <v>1958</v>
      </c>
    </row>
    <row r="169" spans="1:16" s="436" customFormat="1" ht="15" thickBot="1">
      <c r="A169" s="638" t="s">
        <v>477</v>
      </c>
      <c r="B169" s="775" t="s">
        <v>258</v>
      </c>
      <c r="C169" s="34" t="s">
        <v>139</v>
      </c>
      <c r="D169" s="124" t="s">
        <v>99</v>
      </c>
      <c r="E169" s="749">
        <v>3.4000000000000002E-2</v>
      </c>
      <c r="F169" s="119">
        <v>2</v>
      </c>
      <c r="G169" s="9" t="s">
        <v>429</v>
      </c>
      <c r="H169" s="15"/>
      <c r="I169" s="15"/>
      <c r="J169" s="15"/>
      <c r="K169" s="15"/>
      <c r="L169" s="15"/>
      <c r="M169" s="15"/>
      <c r="N169" s="424"/>
      <c r="O169" s="424"/>
      <c r="P169" s="119" t="s">
        <v>1959</v>
      </c>
    </row>
    <row r="170" spans="1:16" s="436" customFormat="1">
      <c r="A170" s="634" t="s">
        <v>475</v>
      </c>
      <c r="B170" s="783" t="s">
        <v>479</v>
      </c>
      <c r="C170" s="34" t="s">
        <v>139</v>
      </c>
      <c r="D170" s="121" t="s">
        <v>99</v>
      </c>
      <c r="E170" s="632">
        <f>0.1*E164</f>
        <v>3.0000000000000001E-3</v>
      </c>
      <c r="F170" s="11">
        <v>2</v>
      </c>
      <c r="G170" s="11" t="s">
        <v>429</v>
      </c>
      <c r="H170" s="13">
        <v>1</v>
      </c>
      <c r="I170" s="13">
        <v>2</v>
      </c>
      <c r="J170" s="13">
        <v>2</v>
      </c>
      <c r="K170" s="13">
        <v>1</v>
      </c>
      <c r="L170" s="13">
        <v>1</v>
      </c>
      <c r="M170" s="13">
        <v>1</v>
      </c>
      <c r="N170" s="425">
        <f t="shared" si="27"/>
        <v>0.16933510251023262</v>
      </c>
      <c r="O170" s="425">
        <f t="shared" si="28"/>
        <v>0.19908580854301616</v>
      </c>
      <c r="P170" s="42" t="s">
        <v>852</v>
      </c>
    </row>
    <row r="171" spans="1:16" s="436" customFormat="1" ht="15" thickBot="1">
      <c r="A171" s="635" t="s">
        <v>475</v>
      </c>
      <c r="B171" s="784" t="s">
        <v>480</v>
      </c>
      <c r="C171" s="34" t="s">
        <v>139</v>
      </c>
      <c r="D171" s="123" t="s">
        <v>99</v>
      </c>
      <c r="E171" s="753" t="s">
        <v>150</v>
      </c>
      <c r="F171" s="12">
        <v>1</v>
      </c>
      <c r="G171" s="12" t="s">
        <v>429</v>
      </c>
      <c r="H171" s="14"/>
      <c r="I171" s="14"/>
      <c r="J171" s="14"/>
      <c r="K171" s="14"/>
      <c r="L171" s="14"/>
      <c r="M171" s="14"/>
      <c r="N171" s="428" t="str">
        <f t="shared" si="27"/>
        <v/>
      </c>
      <c r="O171" s="428" t="str">
        <f t="shared" si="28"/>
        <v/>
      </c>
      <c r="P171" s="44" t="s">
        <v>1942</v>
      </c>
    </row>
    <row r="172" spans="1:16" s="436" customFormat="1" ht="15" thickBot="1">
      <c r="A172" s="777" t="s">
        <v>479</v>
      </c>
      <c r="B172" s="786" t="s">
        <v>228</v>
      </c>
      <c r="C172" s="34" t="s">
        <v>139</v>
      </c>
      <c r="D172" s="781" t="s">
        <v>99</v>
      </c>
      <c r="E172" s="751">
        <v>1</v>
      </c>
      <c r="F172" s="750">
        <v>2</v>
      </c>
      <c r="G172" s="750" t="s">
        <v>429</v>
      </c>
      <c r="H172" s="70">
        <v>1</v>
      </c>
      <c r="I172" s="70">
        <v>2</v>
      </c>
      <c r="J172" s="70">
        <v>2</v>
      </c>
      <c r="K172" s="70">
        <v>1</v>
      </c>
      <c r="L172" s="70">
        <v>1</v>
      </c>
      <c r="M172" s="70">
        <v>1</v>
      </c>
      <c r="N172" s="439">
        <f t="shared" si="27"/>
        <v>0.16933510251023262</v>
      </c>
      <c r="O172" s="439">
        <f t="shared" si="28"/>
        <v>0.19908580854301616</v>
      </c>
      <c r="P172" s="752" t="s">
        <v>853</v>
      </c>
    </row>
    <row r="173" spans="1:16" s="436" customFormat="1">
      <c r="A173" s="634" t="s">
        <v>478</v>
      </c>
      <c r="B173" s="774" t="s">
        <v>231</v>
      </c>
      <c r="C173" s="34" t="s">
        <v>139</v>
      </c>
      <c r="D173" s="614" t="s">
        <v>99</v>
      </c>
      <c r="E173" s="744">
        <v>0</v>
      </c>
      <c r="F173" s="118">
        <v>2</v>
      </c>
      <c r="G173" s="118" t="s">
        <v>429</v>
      </c>
      <c r="H173" s="66">
        <v>1</v>
      </c>
      <c r="I173" s="66">
        <v>2</v>
      </c>
      <c r="J173" s="66">
        <v>2</v>
      </c>
      <c r="K173" s="66">
        <v>1</v>
      </c>
      <c r="L173" s="71">
        <v>1</v>
      </c>
      <c r="M173" s="66">
        <v>1</v>
      </c>
      <c r="N173" s="438">
        <f t="shared" si="27"/>
        <v>0.16933510251023262</v>
      </c>
      <c r="O173" s="438">
        <f t="shared" si="28"/>
        <v>0.19908580854301616</v>
      </c>
      <c r="P173" s="660" t="s">
        <v>1964</v>
      </c>
    </row>
    <row r="174" spans="1:16" s="436" customFormat="1">
      <c r="A174" s="636" t="s">
        <v>478</v>
      </c>
      <c r="B174" s="780" t="s">
        <v>232</v>
      </c>
      <c r="C174" s="34" t="s">
        <v>139</v>
      </c>
      <c r="D174" s="122" t="s">
        <v>99</v>
      </c>
      <c r="E174" s="242">
        <v>0</v>
      </c>
      <c r="F174" s="9">
        <v>2</v>
      </c>
      <c r="G174" s="9" t="s">
        <v>429</v>
      </c>
      <c r="H174" s="10">
        <v>1</v>
      </c>
      <c r="I174" s="10">
        <v>2</v>
      </c>
      <c r="J174" s="10">
        <v>2</v>
      </c>
      <c r="K174" s="10">
        <v>1</v>
      </c>
      <c r="L174" s="10">
        <v>1</v>
      </c>
      <c r="M174" s="10">
        <v>1</v>
      </c>
      <c r="N174" s="405">
        <f t="shared" si="27"/>
        <v>0.16933510251023262</v>
      </c>
      <c r="O174" s="405">
        <f t="shared" si="28"/>
        <v>0.19908580854301616</v>
      </c>
      <c r="P174" s="43" t="s">
        <v>1964</v>
      </c>
    </row>
    <row r="175" spans="1:16" s="436" customFormat="1">
      <c r="A175" s="636" t="s">
        <v>478</v>
      </c>
      <c r="B175" s="780" t="s">
        <v>251</v>
      </c>
      <c r="C175" s="34" t="s">
        <v>139</v>
      </c>
      <c r="D175" s="122" t="s">
        <v>99</v>
      </c>
      <c r="E175" s="242">
        <v>0</v>
      </c>
      <c r="F175" s="9">
        <v>2</v>
      </c>
      <c r="G175" s="9" t="s">
        <v>429</v>
      </c>
      <c r="H175" s="10">
        <v>1</v>
      </c>
      <c r="I175" s="10">
        <v>2</v>
      </c>
      <c r="J175" s="10">
        <v>2</v>
      </c>
      <c r="K175" s="10">
        <v>1</v>
      </c>
      <c r="L175" s="10">
        <v>1</v>
      </c>
      <c r="M175" s="10">
        <v>1</v>
      </c>
      <c r="N175" s="405">
        <f t="shared" si="27"/>
        <v>0.16933510251023262</v>
      </c>
      <c r="O175" s="405">
        <f t="shared" si="28"/>
        <v>0.19908580854301616</v>
      </c>
      <c r="P175" s="43" t="s">
        <v>1964</v>
      </c>
    </row>
    <row r="176" spans="1:16" s="436" customFormat="1">
      <c r="A176" s="636" t="s">
        <v>478</v>
      </c>
      <c r="B176" s="775" t="s">
        <v>258</v>
      </c>
      <c r="C176" s="34" t="s">
        <v>139</v>
      </c>
      <c r="D176" s="124" t="s">
        <v>99</v>
      </c>
      <c r="E176" s="749">
        <v>0</v>
      </c>
      <c r="F176" s="119">
        <v>2</v>
      </c>
      <c r="G176" s="119" t="s">
        <v>429</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1964</v>
      </c>
    </row>
    <row r="177" spans="1:16" s="436" customFormat="1" ht="15" thickBot="1">
      <c r="A177" s="635" t="s">
        <v>478</v>
      </c>
      <c r="B177" s="784" t="s">
        <v>333</v>
      </c>
      <c r="C177" s="34" t="s">
        <v>139</v>
      </c>
      <c r="D177" s="123" t="s">
        <v>99</v>
      </c>
      <c r="E177" s="753" t="s">
        <v>150</v>
      </c>
      <c r="F177" s="12">
        <v>1</v>
      </c>
      <c r="G177" s="12" t="s">
        <v>429</v>
      </c>
      <c r="H177" s="14"/>
      <c r="I177" s="14"/>
      <c r="J177" s="14"/>
      <c r="K177" s="14"/>
      <c r="L177" s="14"/>
      <c r="M177" s="14"/>
      <c r="N177" s="428" t="str">
        <f t="shared" si="27"/>
        <v/>
      </c>
      <c r="O177" s="428" t="str">
        <f t="shared" si="28"/>
        <v/>
      </c>
      <c r="P177" s="44"/>
    </row>
    <row r="178" spans="1:16" s="436" customFormat="1">
      <c r="A178" s="637" t="s">
        <v>480</v>
      </c>
      <c r="B178" s="774" t="s">
        <v>228</v>
      </c>
      <c r="C178" s="34" t="s">
        <v>139</v>
      </c>
      <c r="D178" s="614" t="s">
        <v>99</v>
      </c>
      <c r="E178" s="744">
        <v>0</v>
      </c>
      <c r="F178" s="118">
        <v>2</v>
      </c>
      <c r="G178" s="118" t="s">
        <v>429</v>
      </c>
      <c r="H178" s="66">
        <v>1</v>
      </c>
      <c r="I178" s="66">
        <v>2</v>
      </c>
      <c r="J178" s="66">
        <v>2</v>
      </c>
      <c r="K178" s="66">
        <v>1</v>
      </c>
      <c r="L178" s="66">
        <v>1</v>
      </c>
      <c r="M178" s="66">
        <v>1</v>
      </c>
      <c r="N178" s="438">
        <f t="shared" si="27"/>
        <v>0.16933510251023262</v>
      </c>
      <c r="O178" s="438">
        <f t="shared" si="28"/>
        <v>0.19908580854301616</v>
      </c>
      <c r="P178" s="118" t="s">
        <v>854</v>
      </c>
    </row>
    <row r="179" spans="1:16" s="436" customFormat="1" ht="15" thickBot="1">
      <c r="A179" s="638" t="s">
        <v>480</v>
      </c>
      <c r="B179" s="775" t="s">
        <v>333</v>
      </c>
      <c r="C179" s="34" t="s">
        <v>139</v>
      </c>
      <c r="D179" s="124" t="s">
        <v>99</v>
      </c>
      <c r="E179" s="749" t="s">
        <v>150</v>
      </c>
      <c r="F179" s="119">
        <v>1</v>
      </c>
      <c r="G179" s="119" t="s">
        <v>429</v>
      </c>
      <c r="H179" s="15"/>
      <c r="I179" s="15"/>
      <c r="J179" s="15"/>
      <c r="K179" s="15"/>
      <c r="L179" s="15"/>
      <c r="M179" s="15"/>
      <c r="N179" s="424" t="str">
        <f t="shared" si="27"/>
        <v/>
      </c>
      <c r="O179" s="424" t="str">
        <f t="shared" si="28"/>
        <v/>
      </c>
      <c r="P179" s="119" t="s">
        <v>1943</v>
      </c>
    </row>
    <row r="180" spans="1:16" s="436" customFormat="1">
      <c r="A180" s="634" t="s">
        <v>434</v>
      </c>
      <c r="B180" s="783" t="s">
        <v>481</v>
      </c>
      <c r="C180" s="34" t="s">
        <v>139</v>
      </c>
      <c r="D180" s="121" t="s">
        <v>99</v>
      </c>
      <c r="E180" s="632">
        <f>0.97*0.1</f>
        <v>9.7000000000000003E-2</v>
      </c>
      <c r="F180" s="11">
        <v>2</v>
      </c>
      <c r="G180" s="11" t="s">
        <v>429</v>
      </c>
      <c r="H180" s="13">
        <v>1</v>
      </c>
      <c r="I180" s="13">
        <v>2</v>
      </c>
      <c r="J180" s="13">
        <v>2</v>
      </c>
      <c r="K180" s="13">
        <v>1</v>
      </c>
      <c r="L180" s="13">
        <v>1</v>
      </c>
      <c r="M180" s="13">
        <v>1</v>
      </c>
      <c r="N180" s="425">
        <f t="shared" si="27"/>
        <v>0.16933510251023262</v>
      </c>
      <c r="O180" s="425">
        <f t="shared" si="28"/>
        <v>0.19908580854301616</v>
      </c>
      <c r="P180" s="42" t="s">
        <v>864</v>
      </c>
    </row>
    <row r="181" spans="1:16" s="436" customFormat="1">
      <c r="A181" s="636" t="s">
        <v>434</v>
      </c>
      <c r="B181" s="780" t="s">
        <v>482</v>
      </c>
      <c r="C181" s="34" t="s">
        <v>139</v>
      </c>
      <c r="D181" s="122" t="s">
        <v>99</v>
      </c>
      <c r="E181" s="242">
        <f>0.97*0.9</f>
        <v>0.873</v>
      </c>
      <c r="F181" s="9">
        <v>2</v>
      </c>
      <c r="G181" s="9" t="s">
        <v>429</v>
      </c>
      <c r="H181" s="10">
        <v>1</v>
      </c>
      <c r="I181" s="10">
        <v>2</v>
      </c>
      <c r="J181" s="10">
        <v>2</v>
      </c>
      <c r="K181" s="10">
        <v>1</v>
      </c>
      <c r="L181" s="10">
        <v>1</v>
      </c>
      <c r="M181" s="10">
        <v>1</v>
      </c>
      <c r="N181" s="405">
        <f t="shared" si="27"/>
        <v>0.16933510251023262</v>
      </c>
      <c r="O181" s="405">
        <f t="shared" si="28"/>
        <v>0.19908580854301616</v>
      </c>
      <c r="P181" s="43" t="s">
        <v>865</v>
      </c>
    </row>
    <row r="182" spans="1:16" s="436" customFormat="1" ht="15" thickBot="1">
      <c r="A182" s="635" t="s">
        <v>434</v>
      </c>
      <c r="B182" s="784" t="s">
        <v>223</v>
      </c>
      <c r="C182" s="34" t="s">
        <v>139</v>
      </c>
      <c r="D182" s="123" t="s">
        <v>99</v>
      </c>
      <c r="E182" s="753">
        <v>0.03</v>
      </c>
      <c r="F182" s="12">
        <v>1</v>
      </c>
      <c r="G182" s="12" t="s">
        <v>429</v>
      </c>
      <c r="H182" s="14">
        <v>1</v>
      </c>
      <c r="I182" s="14">
        <v>2</v>
      </c>
      <c r="J182" s="14">
        <v>2</v>
      </c>
      <c r="K182" s="14">
        <v>1</v>
      </c>
      <c r="L182" s="14">
        <v>1</v>
      </c>
      <c r="M182" s="14">
        <v>1</v>
      </c>
      <c r="N182" s="428">
        <f t="shared" si="27"/>
        <v>0.16933510251023262</v>
      </c>
      <c r="O182" s="428">
        <f t="shared" si="28"/>
        <v>0.19908580854301616</v>
      </c>
      <c r="P182" s="44" t="s">
        <v>850</v>
      </c>
    </row>
    <row r="183" spans="1:16" s="436" customFormat="1">
      <c r="A183" s="637" t="s">
        <v>481</v>
      </c>
      <c r="B183" s="774" t="s">
        <v>483</v>
      </c>
      <c r="C183" s="34" t="s">
        <v>139</v>
      </c>
      <c r="D183" s="614" t="s">
        <v>99</v>
      </c>
      <c r="E183" s="744">
        <v>0.03</v>
      </c>
      <c r="F183" s="118">
        <v>2</v>
      </c>
      <c r="G183" s="118" t="s">
        <v>429</v>
      </c>
      <c r="H183" s="66">
        <v>1</v>
      </c>
      <c r="I183" s="66">
        <v>2</v>
      </c>
      <c r="J183" s="66">
        <v>2</v>
      </c>
      <c r="K183" s="66">
        <v>1</v>
      </c>
      <c r="L183" s="66">
        <v>1</v>
      </c>
      <c r="M183" s="66">
        <v>1</v>
      </c>
      <c r="N183" s="438">
        <f t="shared" si="27"/>
        <v>0.16933510251023262</v>
      </c>
      <c r="O183" s="438">
        <f t="shared" si="28"/>
        <v>0.19908580854301616</v>
      </c>
      <c r="P183" s="118" t="s">
        <v>851</v>
      </c>
    </row>
    <row r="184" spans="1:16" s="436" customFormat="1" ht="15" thickBot="1">
      <c r="A184" s="638" t="s">
        <v>481</v>
      </c>
      <c r="B184" s="775" t="s">
        <v>476</v>
      </c>
      <c r="C184" s="34" t="s">
        <v>139</v>
      </c>
      <c r="D184" s="124" t="s">
        <v>99</v>
      </c>
      <c r="E184" s="749" t="s">
        <v>150</v>
      </c>
      <c r="F184" s="119">
        <v>1</v>
      </c>
      <c r="G184" s="119" t="s">
        <v>429</v>
      </c>
      <c r="H184" s="15"/>
      <c r="I184" s="15"/>
      <c r="J184" s="15"/>
      <c r="K184" s="15"/>
      <c r="L184" s="15"/>
      <c r="M184" s="15"/>
      <c r="N184" s="424" t="str">
        <f t="shared" si="27"/>
        <v/>
      </c>
      <c r="O184" s="424" t="str">
        <f t="shared" si="28"/>
        <v/>
      </c>
      <c r="P184" s="119" t="s">
        <v>1944</v>
      </c>
    </row>
    <row r="185" spans="1:16" s="436" customFormat="1">
      <c r="A185" s="437" t="s">
        <v>483</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1933</v>
      </c>
    </row>
    <row r="186" spans="1:16" s="436" customFormat="1">
      <c r="A186" s="496" t="s">
        <v>483</v>
      </c>
      <c r="B186" s="496" t="s">
        <v>232</v>
      </c>
      <c r="C186" s="34" t="s">
        <v>139</v>
      </c>
      <c r="D186" s="122" t="s">
        <v>99</v>
      </c>
      <c r="E186" s="242">
        <v>0.39400000000000002</v>
      </c>
      <c r="F186" s="9">
        <v>2</v>
      </c>
      <c r="G186" s="9" t="s">
        <v>429</v>
      </c>
      <c r="H186" s="10">
        <v>1</v>
      </c>
      <c r="I186" s="10">
        <v>2</v>
      </c>
      <c r="J186" s="10">
        <v>2</v>
      </c>
      <c r="K186" s="10">
        <v>1</v>
      </c>
      <c r="L186" s="10">
        <v>1</v>
      </c>
      <c r="M186" s="10">
        <v>1</v>
      </c>
      <c r="N186" s="405">
        <f t="shared" si="27"/>
        <v>0.16933510251023262</v>
      </c>
      <c r="O186" s="405">
        <f t="shared" si="28"/>
        <v>0.19908580854301616</v>
      </c>
      <c r="P186" s="43" t="s">
        <v>1957</v>
      </c>
    </row>
    <row r="187" spans="1:16" s="436" customFormat="1">
      <c r="A187" s="496" t="s">
        <v>483</v>
      </c>
      <c r="B187" s="496" t="s">
        <v>251</v>
      </c>
      <c r="C187" s="34" t="s">
        <v>139</v>
      </c>
      <c r="D187" s="122" t="s">
        <v>99</v>
      </c>
      <c r="E187" s="242">
        <v>0.52200000000000002</v>
      </c>
      <c r="F187" s="7">
        <v>1</v>
      </c>
      <c r="G187" s="9" t="s">
        <v>429</v>
      </c>
      <c r="H187" s="10">
        <v>1</v>
      </c>
      <c r="I187" s="10">
        <v>2</v>
      </c>
      <c r="J187" s="10">
        <v>2</v>
      </c>
      <c r="K187" s="10">
        <v>1</v>
      </c>
      <c r="L187" s="10">
        <v>1</v>
      </c>
      <c r="M187" s="10">
        <v>1</v>
      </c>
      <c r="N187" s="405">
        <f t="shared" si="27"/>
        <v>0.16933510251023262</v>
      </c>
      <c r="O187" s="405">
        <f t="shared" si="28"/>
        <v>0.19908580854301616</v>
      </c>
      <c r="P187" s="43" t="s">
        <v>1958</v>
      </c>
    </row>
    <row r="188" spans="1:16" s="436" customFormat="1" ht="15" thickBot="1">
      <c r="A188" s="773" t="s">
        <v>483</v>
      </c>
      <c r="B188" s="773" t="s">
        <v>258</v>
      </c>
      <c r="C188" s="34" t="s">
        <v>139</v>
      </c>
      <c r="D188" s="123" t="s">
        <v>99</v>
      </c>
      <c r="E188" s="753">
        <v>3.4000000000000002E-2</v>
      </c>
      <c r="F188" s="12">
        <v>2</v>
      </c>
      <c r="G188" s="12" t="s">
        <v>429</v>
      </c>
      <c r="H188" s="14"/>
      <c r="I188" s="14"/>
      <c r="J188" s="14"/>
      <c r="K188" s="14"/>
      <c r="L188" s="14"/>
      <c r="M188" s="14"/>
      <c r="N188" s="428"/>
      <c r="O188" s="428"/>
      <c r="P188" s="44" t="s">
        <v>1959</v>
      </c>
    </row>
    <row r="189" spans="1:16" s="436" customFormat="1">
      <c r="A189" s="637" t="s">
        <v>482</v>
      </c>
      <c r="B189" s="774" t="s">
        <v>484</v>
      </c>
      <c r="C189" s="34" t="s">
        <v>139</v>
      </c>
      <c r="D189" s="614" t="s">
        <v>99</v>
      </c>
      <c r="E189" s="744">
        <f>0.1*E183</f>
        <v>3.0000000000000001E-3</v>
      </c>
      <c r="F189" s="118">
        <v>2</v>
      </c>
      <c r="G189" s="118" t="s">
        <v>429</v>
      </c>
      <c r="H189" s="66">
        <v>1</v>
      </c>
      <c r="I189" s="66">
        <v>2</v>
      </c>
      <c r="J189" s="66">
        <v>2</v>
      </c>
      <c r="K189" s="66">
        <v>1</v>
      </c>
      <c r="L189" s="66">
        <v>1</v>
      </c>
      <c r="M189" s="66">
        <v>1</v>
      </c>
      <c r="N189" s="438">
        <f t="shared" si="27"/>
        <v>0.16933510251023262</v>
      </c>
      <c r="O189" s="438">
        <f t="shared" si="28"/>
        <v>0.19908580854301616</v>
      </c>
      <c r="P189" s="118" t="s">
        <v>852</v>
      </c>
    </row>
    <row r="190" spans="1:16" s="436" customFormat="1" ht="15" thickBot="1">
      <c r="A190" s="638" t="s">
        <v>482</v>
      </c>
      <c r="B190" s="775" t="s">
        <v>473</v>
      </c>
      <c r="C190" s="34" t="s">
        <v>139</v>
      </c>
      <c r="D190" s="124" t="s">
        <v>99</v>
      </c>
      <c r="E190" s="749" t="s">
        <v>150</v>
      </c>
      <c r="F190" s="119">
        <v>1</v>
      </c>
      <c r="G190" s="119" t="s">
        <v>429</v>
      </c>
      <c r="H190" s="15"/>
      <c r="I190" s="15"/>
      <c r="J190" s="15"/>
      <c r="K190" s="15"/>
      <c r="L190" s="15"/>
      <c r="M190" s="15"/>
      <c r="N190" s="424" t="str">
        <f t="shared" si="27"/>
        <v/>
      </c>
      <c r="O190" s="424" t="str">
        <f t="shared" si="28"/>
        <v/>
      </c>
      <c r="P190" s="119" t="s">
        <v>1944</v>
      </c>
    </row>
    <row r="191" spans="1:16" s="436" customFormat="1" ht="15" thickBot="1">
      <c r="A191" s="633" t="s">
        <v>484</v>
      </c>
      <c r="B191" s="785" t="s">
        <v>228</v>
      </c>
      <c r="C191" s="34" t="s">
        <v>139</v>
      </c>
      <c r="D191" s="781" t="s">
        <v>99</v>
      </c>
      <c r="E191" s="751">
        <v>1</v>
      </c>
      <c r="F191" s="750">
        <v>2</v>
      </c>
      <c r="G191" s="750" t="s">
        <v>429</v>
      </c>
      <c r="H191" s="70">
        <v>1</v>
      </c>
      <c r="I191" s="70">
        <v>2</v>
      </c>
      <c r="J191" s="70">
        <v>2</v>
      </c>
      <c r="K191" s="70">
        <v>1</v>
      </c>
      <c r="L191" s="70">
        <v>1</v>
      </c>
      <c r="M191" s="70">
        <v>1</v>
      </c>
      <c r="N191" s="439">
        <f t="shared" si="27"/>
        <v>0.16933510251023262</v>
      </c>
      <c r="O191" s="439">
        <f t="shared" si="28"/>
        <v>0.19908580854301616</v>
      </c>
      <c r="P191" s="752" t="s">
        <v>853</v>
      </c>
    </row>
    <row r="192" spans="1:16" s="436" customFormat="1">
      <c r="A192" s="637" t="s">
        <v>476</v>
      </c>
      <c r="B192" s="783" t="s">
        <v>231</v>
      </c>
      <c r="C192" s="34" t="s">
        <v>139</v>
      </c>
      <c r="D192" s="614" t="s">
        <v>99</v>
      </c>
      <c r="E192" s="744">
        <v>0</v>
      </c>
      <c r="F192" s="118">
        <v>2</v>
      </c>
      <c r="G192" s="118" t="s">
        <v>429</v>
      </c>
      <c r="H192" s="66">
        <v>1</v>
      </c>
      <c r="I192" s="66">
        <v>2</v>
      </c>
      <c r="J192" s="66">
        <v>2</v>
      </c>
      <c r="K192" s="66">
        <v>1</v>
      </c>
      <c r="L192" s="66">
        <v>1</v>
      </c>
      <c r="M192" s="66">
        <v>1</v>
      </c>
      <c r="N192" s="438">
        <f t="shared" si="27"/>
        <v>0.16933510251023262</v>
      </c>
      <c r="O192" s="438">
        <f t="shared" si="28"/>
        <v>0.19908580854301616</v>
      </c>
      <c r="P192" s="42" t="s">
        <v>1963</v>
      </c>
    </row>
    <row r="193" spans="1:16" s="436" customFormat="1">
      <c r="A193" s="313" t="s">
        <v>476</v>
      </c>
      <c r="B193" s="780" t="s">
        <v>232</v>
      </c>
      <c r="C193" s="34" t="s">
        <v>139</v>
      </c>
      <c r="D193" s="122" t="s">
        <v>99</v>
      </c>
      <c r="E193" s="242">
        <v>0</v>
      </c>
      <c r="F193" s="9">
        <v>2</v>
      </c>
      <c r="G193" s="9" t="s">
        <v>429</v>
      </c>
      <c r="H193" s="10">
        <v>1</v>
      </c>
      <c r="I193" s="10">
        <v>2</v>
      </c>
      <c r="J193" s="10">
        <v>2</v>
      </c>
      <c r="K193" s="10">
        <v>1</v>
      </c>
      <c r="L193" s="10">
        <v>1</v>
      </c>
      <c r="M193" s="10">
        <v>1</v>
      </c>
      <c r="N193" s="405">
        <f t="shared" si="27"/>
        <v>0.16933510251023262</v>
      </c>
      <c r="O193" s="405">
        <f t="shared" si="28"/>
        <v>0.19908580854301616</v>
      </c>
      <c r="P193" s="43" t="s">
        <v>1963</v>
      </c>
    </row>
    <row r="194" spans="1:16" s="436" customFormat="1">
      <c r="A194" s="313" t="s">
        <v>476</v>
      </c>
      <c r="B194" s="780" t="s">
        <v>251</v>
      </c>
      <c r="C194" s="34" t="s">
        <v>139</v>
      </c>
      <c r="D194" s="122" t="s">
        <v>99</v>
      </c>
      <c r="E194" s="242">
        <v>0</v>
      </c>
      <c r="F194" s="9">
        <v>2</v>
      </c>
      <c r="G194" s="9" t="s">
        <v>429</v>
      </c>
      <c r="H194" s="10">
        <v>1</v>
      </c>
      <c r="I194" s="10">
        <v>2</v>
      </c>
      <c r="J194" s="10">
        <v>2</v>
      </c>
      <c r="K194" s="10">
        <v>1</v>
      </c>
      <c r="L194" s="10">
        <v>1</v>
      </c>
      <c r="M194" s="10">
        <v>1</v>
      </c>
      <c r="N194" s="405">
        <f t="shared" si="27"/>
        <v>0.16933510251023262</v>
      </c>
      <c r="O194" s="405">
        <f t="shared" si="28"/>
        <v>0.19908580854301616</v>
      </c>
      <c r="P194" s="43" t="s">
        <v>1963</v>
      </c>
    </row>
    <row r="195" spans="1:16" s="436" customFormat="1">
      <c r="A195" s="313" t="s">
        <v>476</v>
      </c>
      <c r="B195" s="775" t="s">
        <v>258</v>
      </c>
      <c r="C195" s="34" t="s">
        <v>139</v>
      </c>
      <c r="D195" s="124" t="s">
        <v>99</v>
      </c>
      <c r="E195" s="749">
        <v>0</v>
      </c>
      <c r="F195" s="119">
        <v>2</v>
      </c>
      <c r="G195" s="119" t="s">
        <v>429</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1963</v>
      </c>
    </row>
    <row r="196" spans="1:16" s="436" customFormat="1" ht="15" thickBot="1">
      <c r="A196" s="638" t="s">
        <v>476</v>
      </c>
      <c r="B196" s="784" t="s">
        <v>333</v>
      </c>
      <c r="C196" s="34" t="s">
        <v>139</v>
      </c>
      <c r="D196" s="124" t="s">
        <v>99</v>
      </c>
      <c r="E196" s="749" t="s">
        <v>150</v>
      </c>
      <c r="F196" s="119">
        <v>1</v>
      </c>
      <c r="G196" s="119" t="s">
        <v>429</v>
      </c>
      <c r="H196" s="15"/>
      <c r="I196" s="15"/>
      <c r="J196" s="15"/>
      <c r="K196" s="15"/>
      <c r="L196" s="15"/>
      <c r="M196" s="15"/>
      <c r="N196" s="424" t="str">
        <f t="shared" si="27"/>
        <v/>
      </c>
      <c r="O196" s="424" t="str">
        <f t="shared" si="28"/>
        <v/>
      </c>
      <c r="P196" s="44"/>
    </row>
    <row r="197" spans="1:16" s="436" customFormat="1">
      <c r="A197" s="634" t="s">
        <v>473</v>
      </c>
      <c r="B197" s="783" t="s">
        <v>228</v>
      </c>
      <c r="C197" s="34" t="s">
        <v>139</v>
      </c>
      <c r="D197" s="121" t="s">
        <v>99</v>
      </c>
      <c r="E197" s="632">
        <v>0</v>
      </c>
      <c r="F197" s="11">
        <v>2</v>
      </c>
      <c r="G197" s="11" t="s">
        <v>429</v>
      </c>
      <c r="H197" s="13">
        <v>1</v>
      </c>
      <c r="I197" s="13">
        <v>2</v>
      </c>
      <c r="J197" s="13">
        <v>2</v>
      </c>
      <c r="K197" s="13">
        <v>1</v>
      </c>
      <c r="L197" s="13">
        <v>1</v>
      </c>
      <c r="M197" s="13">
        <v>1</v>
      </c>
      <c r="N197" s="425">
        <f t="shared" si="27"/>
        <v>0.16933510251023262</v>
      </c>
      <c r="O197" s="425">
        <f t="shared" si="28"/>
        <v>0.19908580854301616</v>
      </c>
      <c r="P197" s="42" t="s">
        <v>854</v>
      </c>
    </row>
    <row r="198" spans="1:16" s="436" customFormat="1" ht="15" thickBot="1">
      <c r="A198" s="635" t="s">
        <v>473</v>
      </c>
      <c r="B198" s="784" t="s">
        <v>333</v>
      </c>
      <c r="C198" s="34" t="s">
        <v>139</v>
      </c>
      <c r="D198" s="123" t="s">
        <v>99</v>
      </c>
      <c r="E198" s="753" t="s">
        <v>150</v>
      </c>
      <c r="F198" s="12">
        <v>1</v>
      </c>
      <c r="G198" s="12" t="s">
        <v>429</v>
      </c>
      <c r="H198" s="14"/>
      <c r="I198" s="14"/>
      <c r="J198" s="14"/>
      <c r="K198" s="14"/>
      <c r="L198" s="14"/>
      <c r="M198" s="14"/>
      <c r="N198" s="428" t="str">
        <f t="shared" si="27"/>
        <v/>
      </c>
      <c r="O198" s="428" t="str">
        <f t="shared" si="28"/>
        <v/>
      </c>
      <c r="P198" s="44" t="s">
        <v>1945</v>
      </c>
    </row>
    <row r="199" spans="1:16" s="436" customFormat="1">
      <c r="A199" s="637" t="s">
        <v>435</v>
      </c>
      <c r="B199" s="774" t="s">
        <v>487</v>
      </c>
      <c r="C199" s="34" t="s">
        <v>139</v>
      </c>
      <c r="D199" s="614" t="s">
        <v>99</v>
      </c>
      <c r="E199" s="744">
        <f>0.97*0.25</f>
        <v>0.24249999999999999</v>
      </c>
      <c r="F199" s="118">
        <v>2</v>
      </c>
      <c r="G199" s="118" t="s">
        <v>429</v>
      </c>
      <c r="H199" s="66">
        <v>1</v>
      </c>
      <c r="I199" s="66">
        <v>2</v>
      </c>
      <c r="J199" s="66">
        <v>2</v>
      </c>
      <c r="K199" s="66">
        <v>1</v>
      </c>
      <c r="L199" s="66">
        <v>1</v>
      </c>
      <c r="M199" s="66">
        <v>1</v>
      </c>
      <c r="N199" s="438">
        <f t="shared" si="27"/>
        <v>0.16933510251023262</v>
      </c>
      <c r="O199" s="438">
        <f t="shared" si="28"/>
        <v>0.19908580854301616</v>
      </c>
      <c r="P199" s="118" t="s">
        <v>858</v>
      </c>
    </row>
    <row r="200" spans="1:16" s="436" customFormat="1">
      <c r="A200" s="313" t="s">
        <v>435</v>
      </c>
      <c r="B200" s="780" t="s">
        <v>488</v>
      </c>
      <c r="C200" s="34" t="s">
        <v>139</v>
      </c>
      <c r="D200" s="122" t="s">
        <v>99</v>
      </c>
      <c r="E200" s="242">
        <f>0.97*0.75</f>
        <v>0.72750000000000004</v>
      </c>
      <c r="F200" s="9">
        <v>2</v>
      </c>
      <c r="G200" s="9" t="s">
        <v>429</v>
      </c>
      <c r="H200" s="10">
        <v>1</v>
      </c>
      <c r="I200" s="10">
        <v>2</v>
      </c>
      <c r="J200" s="10">
        <v>2</v>
      </c>
      <c r="K200" s="10">
        <v>1</v>
      </c>
      <c r="L200" s="10">
        <v>1</v>
      </c>
      <c r="M200" s="10">
        <v>1</v>
      </c>
      <c r="N200" s="405">
        <f t="shared" si="27"/>
        <v>0.16933510251023262</v>
      </c>
      <c r="O200" s="405">
        <f t="shared" si="28"/>
        <v>0.19908580854301616</v>
      </c>
      <c r="P200" s="9" t="s">
        <v>865</v>
      </c>
    </row>
    <row r="201" spans="1:16" s="436" customFormat="1" ht="15" thickBot="1">
      <c r="A201" s="638" t="s">
        <v>435</v>
      </c>
      <c r="B201" s="775" t="s">
        <v>223</v>
      </c>
      <c r="C201" s="34" t="s">
        <v>139</v>
      </c>
      <c r="D201" s="124" t="s">
        <v>99</v>
      </c>
      <c r="E201" s="749">
        <v>0.03</v>
      </c>
      <c r="F201" s="119">
        <v>1</v>
      </c>
      <c r="G201" s="119" t="s">
        <v>429</v>
      </c>
      <c r="H201" s="15">
        <v>1</v>
      </c>
      <c r="I201" s="15">
        <v>2</v>
      </c>
      <c r="J201" s="15">
        <v>2</v>
      </c>
      <c r="K201" s="15">
        <v>1</v>
      </c>
      <c r="L201" s="15">
        <v>1</v>
      </c>
      <c r="M201" s="15">
        <v>1</v>
      </c>
      <c r="N201" s="424">
        <f t="shared" si="27"/>
        <v>0.16933510251023262</v>
      </c>
      <c r="O201" s="424">
        <f t="shared" si="28"/>
        <v>0.19908580854301616</v>
      </c>
      <c r="P201" s="119" t="s">
        <v>850</v>
      </c>
    </row>
    <row r="202" spans="1:16" s="436" customFormat="1">
      <c r="A202" s="634" t="s">
        <v>487</v>
      </c>
      <c r="B202" s="783" t="s">
        <v>489</v>
      </c>
      <c r="C202" s="34" t="s">
        <v>139</v>
      </c>
      <c r="D202" s="121" t="s">
        <v>99</v>
      </c>
      <c r="E202" s="632">
        <v>0.03</v>
      </c>
      <c r="F202" s="11">
        <v>2</v>
      </c>
      <c r="G202" s="11" t="s">
        <v>429</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851</v>
      </c>
    </row>
    <row r="203" spans="1:16" s="436" customFormat="1" ht="15" thickBot="1">
      <c r="A203" s="635" t="s">
        <v>487</v>
      </c>
      <c r="B203" s="784" t="s">
        <v>486</v>
      </c>
      <c r="C203" s="34" t="s">
        <v>139</v>
      </c>
      <c r="D203" s="123" t="s">
        <v>99</v>
      </c>
      <c r="E203" s="753" t="s">
        <v>150</v>
      </c>
      <c r="F203" s="12">
        <v>1</v>
      </c>
      <c r="G203" s="12" t="s">
        <v>429</v>
      </c>
      <c r="H203" s="14"/>
      <c r="I203" s="14"/>
      <c r="J203" s="14"/>
      <c r="K203" s="14"/>
      <c r="L203" s="14"/>
      <c r="M203" s="14"/>
      <c r="N203" s="428" t="str">
        <f t="shared" si="29"/>
        <v/>
      </c>
      <c r="O203" s="428" t="str">
        <f t="shared" si="30"/>
        <v/>
      </c>
      <c r="P203" s="44" t="s">
        <v>1979</v>
      </c>
    </row>
    <row r="204" spans="1:16" s="436" customFormat="1">
      <c r="A204" s="637" t="s">
        <v>489</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1933</v>
      </c>
    </row>
    <row r="205" spans="1:16" s="436" customFormat="1">
      <c r="A205" s="313" t="s">
        <v>489</v>
      </c>
      <c r="B205" s="780" t="s">
        <v>232</v>
      </c>
      <c r="C205" s="34" t="s">
        <v>139</v>
      </c>
      <c r="D205" s="122" t="s">
        <v>99</v>
      </c>
      <c r="E205" s="242">
        <v>0.39400000000000002</v>
      </c>
      <c r="F205" s="9">
        <v>2</v>
      </c>
      <c r="G205" s="9" t="s">
        <v>429</v>
      </c>
      <c r="H205" s="10">
        <v>1</v>
      </c>
      <c r="I205" s="10">
        <v>2</v>
      </c>
      <c r="J205" s="10">
        <v>2</v>
      </c>
      <c r="K205" s="10">
        <v>1</v>
      </c>
      <c r="L205" s="10">
        <v>1</v>
      </c>
      <c r="M205" s="10">
        <v>1</v>
      </c>
      <c r="N205" s="405">
        <f t="shared" si="29"/>
        <v>0.16933510251023262</v>
      </c>
      <c r="O205" s="405">
        <f t="shared" si="30"/>
        <v>0.19908580854301616</v>
      </c>
      <c r="P205" s="9" t="s">
        <v>1957</v>
      </c>
    </row>
    <row r="206" spans="1:16" s="436" customFormat="1">
      <c r="A206" s="638" t="s">
        <v>489</v>
      </c>
      <c r="B206" s="775" t="s">
        <v>251</v>
      </c>
      <c r="C206" s="34" t="s">
        <v>139</v>
      </c>
      <c r="D206" s="124" t="s">
        <v>99</v>
      </c>
      <c r="E206" s="242">
        <v>0.52200000000000002</v>
      </c>
      <c r="F206" s="7">
        <v>1</v>
      </c>
      <c r="G206" s="9" t="s">
        <v>429</v>
      </c>
      <c r="H206" s="15">
        <v>1</v>
      </c>
      <c r="I206" s="15">
        <v>2</v>
      </c>
      <c r="J206" s="15">
        <v>2</v>
      </c>
      <c r="K206" s="15">
        <v>1</v>
      </c>
      <c r="L206" s="15">
        <v>1</v>
      </c>
      <c r="M206" s="15">
        <v>1</v>
      </c>
      <c r="N206" s="424">
        <f t="shared" si="29"/>
        <v>0.16933510251023262</v>
      </c>
      <c r="O206" s="424">
        <f t="shared" si="30"/>
        <v>0.19908580854301616</v>
      </c>
      <c r="P206" s="9" t="s">
        <v>1958</v>
      </c>
    </row>
    <row r="207" spans="1:16" s="436" customFormat="1" ht="15" thickBot="1">
      <c r="A207" s="638" t="s">
        <v>489</v>
      </c>
      <c r="B207" s="775" t="s">
        <v>258</v>
      </c>
      <c r="C207" s="34" t="s">
        <v>139</v>
      </c>
      <c r="D207" s="124" t="s">
        <v>99</v>
      </c>
      <c r="E207" s="749">
        <v>3.4000000000000002E-2</v>
      </c>
      <c r="F207" s="119">
        <v>2</v>
      </c>
      <c r="G207" s="9" t="s">
        <v>429</v>
      </c>
      <c r="H207" s="15"/>
      <c r="I207" s="15"/>
      <c r="J207" s="15"/>
      <c r="K207" s="15"/>
      <c r="L207" s="15"/>
      <c r="M207" s="15"/>
      <c r="N207" s="424"/>
      <c r="O207" s="424"/>
      <c r="P207" s="119" t="s">
        <v>1959</v>
      </c>
    </row>
    <row r="208" spans="1:16" s="436" customFormat="1">
      <c r="A208" s="634" t="s">
        <v>488</v>
      </c>
      <c r="B208" s="783" t="s">
        <v>490</v>
      </c>
      <c r="C208" s="34" t="s">
        <v>139</v>
      </c>
      <c r="D208" s="121" t="s">
        <v>99</v>
      </c>
      <c r="E208" s="632">
        <f>0.1*E202</f>
        <v>3.0000000000000001E-3</v>
      </c>
      <c r="F208" s="11">
        <v>2</v>
      </c>
      <c r="G208" s="11" t="s">
        <v>429</v>
      </c>
      <c r="H208" s="13">
        <v>1</v>
      </c>
      <c r="I208" s="13">
        <v>2</v>
      </c>
      <c r="J208" s="13">
        <v>2</v>
      </c>
      <c r="K208" s="13">
        <v>1</v>
      </c>
      <c r="L208" s="13">
        <v>1</v>
      </c>
      <c r="M208" s="13">
        <v>1</v>
      </c>
      <c r="N208" s="425">
        <f t="shared" si="29"/>
        <v>0.16933510251023262</v>
      </c>
      <c r="O208" s="425">
        <f t="shared" si="30"/>
        <v>0.19908580854301616</v>
      </c>
      <c r="P208" s="42" t="s">
        <v>852</v>
      </c>
    </row>
    <row r="209" spans="1:16" s="436" customFormat="1" ht="15" thickBot="1">
      <c r="A209" s="635" t="s">
        <v>488</v>
      </c>
      <c r="B209" s="784" t="s">
        <v>485</v>
      </c>
      <c r="C209" s="34" t="s">
        <v>139</v>
      </c>
      <c r="D209" s="123" t="s">
        <v>99</v>
      </c>
      <c r="E209" s="753" t="s">
        <v>150</v>
      </c>
      <c r="F209" s="12">
        <v>1</v>
      </c>
      <c r="G209" s="12" t="s">
        <v>429</v>
      </c>
      <c r="H209" s="14">
        <v>1</v>
      </c>
      <c r="I209" s="14">
        <v>2</v>
      </c>
      <c r="J209" s="14">
        <v>2</v>
      </c>
      <c r="K209" s="14">
        <v>1</v>
      </c>
      <c r="L209" s="14">
        <v>1</v>
      </c>
      <c r="M209" s="14">
        <v>1</v>
      </c>
      <c r="N209" s="428">
        <f t="shared" si="29"/>
        <v>0.16933510251023262</v>
      </c>
      <c r="O209" s="428">
        <f t="shared" si="30"/>
        <v>0.19908580854301616</v>
      </c>
      <c r="P209" s="44" t="s">
        <v>1979</v>
      </c>
    </row>
    <row r="210" spans="1:16" s="436" customFormat="1" ht="15" thickBot="1">
      <c r="A210" s="777" t="s">
        <v>490</v>
      </c>
      <c r="B210" s="786" t="s">
        <v>228</v>
      </c>
      <c r="C210" s="34" t="s">
        <v>139</v>
      </c>
      <c r="D210" s="781" t="s">
        <v>99</v>
      </c>
      <c r="E210" s="751">
        <v>1</v>
      </c>
      <c r="F210" s="750">
        <v>2</v>
      </c>
      <c r="G210" s="750" t="s">
        <v>429</v>
      </c>
      <c r="H210" s="70"/>
      <c r="I210" s="70"/>
      <c r="J210" s="70"/>
      <c r="K210" s="70"/>
      <c r="L210" s="70"/>
      <c r="M210" s="70"/>
      <c r="N210" s="439" t="str">
        <f t="shared" si="29"/>
        <v/>
      </c>
      <c r="O210" s="439" t="str">
        <f t="shared" si="30"/>
        <v/>
      </c>
      <c r="P210" s="752" t="s">
        <v>853</v>
      </c>
    </row>
    <row r="211" spans="1:16" s="436" customFormat="1">
      <c r="A211" s="634" t="s">
        <v>486</v>
      </c>
      <c r="B211" s="774" t="s">
        <v>231</v>
      </c>
      <c r="C211" s="34" t="s">
        <v>139</v>
      </c>
      <c r="D211" s="614" t="s">
        <v>99</v>
      </c>
      <c r="E211" s="744">
        <v>1.6000000000000001E-3</v>
      </c>
      <c r="F211" s="118">
        <v>2</v>
      </c>
      <c r="G211" s="118" t="s">
        <v>1993</v>
      </c>
      <c r="H211" s="66">
        <v>1</v>
      </c>
      <c r="I211" s="66">
        <v>2</v>
      </c>
      <c r="J211" s="66">
        <v>2</v>
      </c>
      <c r="K211" s="66">
        <v>1</v>
      </c>
      <c r="L211" s="71">
        <v>3</v>
      </c>
      <c r="M211" s="66">
        <v>3</v>
      </c>
      <c r="N211" s="438">
        <f t="shared" si="29"/>
        <v>1.0725046436742278</v>
      </c>
      <c r="O211" s="438">
        <f t="shared" si="30"/>
        <v>1.0776024280428556</v>
      </c>
      <c r="P211" s="660" t="s">
        <v>1969</v>
      </c>
    </row>
    <row r="212" spans="1:16" s="436" customFormat="1">
      <c r="A212" s="636" t="s">
        <v>486</v>
      </c>
      <c r="B212" s="780" t="s">
        <v>232</v>
      </c>
      <c r="C212" s="34" t="s">
        <v>139</v>
      </c>
      <c r="D212" s="122" t="s">
        <v>99</v>
      </c>
      <c r="E212" s="242">
        <v>1.26E-2</v>
      </c>
      <c r="F212" s="9">
        <v>2</v>
      </c>
      <c r="G212" s="9" t="s">
        <v>429</v>
      </c>
      <c r="H212" s="10">
        <v>1</v>
      </c>
      <c r="I212" s="10">
        <v>2</v>
      </c>
      <c r="J212" s="10">
        <v>2</v>
      </c>
      <c r="K212" s="10">
        <v>1</v>
      </c>
      <c r="L212" s="10">
        <v>1</v>
      </c>
      <c r="M212" s="10">
        <v>1</v>
      </c>
      <c r="N212" s="405">
        <f t="shared" si="29"/>
        <v>0.16933510251023262</v>
      </c>
      <c r="O212" s="405">
        <f t="shared" si="30"/>
        <v>0.19908580854301616</v>
      </c>
      <c r="P212" s="43" t="s">
        <v>1970</v>
      </c>
    </row>
    <row r="213" spans="1:16" s="436" customFormat="1">
      <c r="A213" s="636" t="s">
        <v>486</v>
      </c>
      <c r="B213" s="780" t="s">
        <v>251</v>
      </c>
      <c r="C213" s="34" t="s">
        <v>139</v>
      </c>
      <c r="D213" s="122" t="s">
        <v>99</v>
      </c>
      <c r="E213" s="242">
        <v>1.67E-2</v>
      </c>
      <c r="F213" s="9">
        <v>2</v>
      </c>
      <c r="G213" s="9" t="s">
        <v>429</v>
      </c>
      <c r="H213" s="10">
        <v>1</v>
      </c>
      <c r="I213" s="10">
        <v>2</v>
      </c>
      <c r="J213" s="10">
        <v>2</v>
      </c>
      <c r="K213" s="10">
        <v>1</v>
      </c>
      <c r="L213" s="10">
        <v>1</v>
      </c>
      <c r="M213" s="10">
        <v>1</v>
      </c>
      <c r="N213" s="405">
        <f t="shared" si="29"/>
        <v>0.16933510251023262</v>
      </c>
      <c r="O213" s="405">
        <f t="shared" si="30"/>
        <v>0.19908580854301616</v>
      </c>
      <c r="P213" s="43" t="s">
        <v>1976</v>
      </c>
    </row>
    <row r="214" spans="1:16" s="436" customFormat="1">
      <c r="A214" s="636" t="s">
        <v>486</v>
      </c>
      <c r="B214" s="775" t="s">
        <v>258</v>
      </c>
      <c r="C214" s="34" t="s">
        <v>139</v>
      </c>
      <c r="D214" s="124" t="s">
        <v>99</v>
      </c>
      <c r="E214" s="749">
        <v>1.1000000000000001E-3</v>
      </c>
      <c r="F214" s="119">
        <v>2</v>
      </c>
      <c r="G214" s="119" t="s">
        <v>429</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1971</v>
      </c>
    </row>
    <row r="215" spans="1:16" s="436" customFormat="1" ht="15" thickBot="1">
      <c r="A215" s="635" t="s">
        <v>486</v>
      </c>
      <c r="B215" s="784" t="s">
        <v>333</v>
      </c>
      <c r="C215" s="34" t="s">
        <v>139</v>
      </c>
      <c r="D215" s="123" t="s">
        <v>99</v>
      </c>
      <c r="E215" s="753" t="s">
        <v>150</v>
      </c>
      <c r="F215" s="12">
        <v>1</v>
      </c>
      <c r="G215" s="12" t="s">
        <v>429</v>
      </c>
      <c r="H215" s="14"/>
      <c r="I215" s="14"/>
      <c r="J215" s="14"/>
      <c r="K215" s="14"/>
      <c r="L215" s="14"/>
      <c r="M215" s="14"/>
      <c r="N215" s="428" t="str">
        <f t="shared" si="29"/>
        <v/>
      </c>
      <c r="O215" s="428" t="str">
        <f t="shared" si="30"/>
        <v/>
      </c>
      <c r="P215" s="44"/>
    </row>
    <row r="216" spans="1:16" s="436" customFormat="1">
      <c r="A216" s="637" t="s">
        <v>485</v>
      </c>
      <c r="B216" s="774" t="s">
        <v>228</v>
      </c>
      <c r="C216" s="34" t="s">
        <v>139</v>
      </c>
      <c r="D216" s="614" t="s">
        <v>99</v>
      </c>
      <c r="E216" s="744">
        <v>3.2000000000000001E-2</v>
      </c>
      <c r="F216" s="118">
        <v>2</v>
      </c>
      <c r="G216" s="118" t="s">
        <v>429</v>
      </c>
      <c r="H216" s="66">
        <v>1</v>
      </c>
      <c r="I216" s="66">
        <v>2</v>
      </c>
      <c r="J216" s="66">
        <v>2</v>
      </c>
      <c r="K216" s="66">
        <v>1</v>
      </c>
      <c r="L216" s="66">
        <v>1</v>
      </c>
      <c r="M216" s="66">
        <v>1</v>
      </c>
      <c r="N216" s="438">
        <f t="shared" si="29"/>
        <v>0.16933510251023262</v>
      </c>
      <c r="O216" s="438">
        <f t="shared" si="30"/>
        <v>0.19908580854301616</v>
      </c>
      <c r="P216" s="118" t="s">
        <v>857</v>
      </c>
    </row>
    <row r="217" spans="1:16" s="436" customFormat="1" ht="15" thickBot="1">
      <c r="A217" s="638" t="s">
        <v>485</v>
      </c>
      <c r="B217" s="775" t="s">
        <v>333</v>
      </c>
      <c r="C217" s="34" t="s">
        <v>139</v>
      </c>
      <c r="D217" s="124" t="s">
        <v>99</v>
      </c>
      <c r="E217" s="749" t="s">
        <v>150</v>
      </c>
      <c r="F217" s="119">
        <v>1</v>
      </c>
      <c r="G217" s="119" t="s">
        <v>429</v>
      </c>
      <c r="H217" s="15"/>
      <c r="I217" s="15"/>
      <c r="J217" s="15"/>
      <c r="K217" s="15"/>
      <c r="L217" s="15"/>
      <c r="M217" s="15"/>
      <c r="N217" s="424" t="str">
        <f t="shared" si="29"/>
        <v/>
      </c>
      <c r="O217" s="424" t="str">
        <f t="shared" si="30"/>
        <v/>
      </c>
      <c r="P217" s="119" t="s">
        <v>1980</v>
      </c>
    </row>
    <row r="218" spans="1:16" s="436" customFormat="1">
      <c r="A218" s="634" t="s">
        <v>436</v>
      </c>
      <c r="B218" s="783" t="s">
        <v>491</v>
      </c>
      <c r="C218" s="34" t="s">
        <v>139</v>
      </c>
      <c r="D218" s="121" t="s">
        <v>99</v>
      </c>
      <c r="E218" s="632">
        <f>0.85*0.4</f>
        <v>0.34</v>
      </c>
      <c r="F218" s="11">
        <v>2</v>
      </c>
      <c r="G218" s="11" t="s">
        <v>429</v>
      </c>
      <c r="H218" s="13">
        <v>1</v>
      </c>
      <c r="I218" s="13">
        <v>2</v>
      </c>
      <c r="J218" s="13">
        <v>2</v>
      </c>
      <c r="K218" s="13">
        <v>1</v>
      </c>
      <c r="L218" s="13">
        <v>1</v>
      </c>
      <c r="M218" s="13">
        <v>1</v>
      </c>
      <c r="N218" s="425">
        <f t="shared" si="29"/>
        <v>0.16933510251023262</v>
      </c>
      <c r="O218" s="425">
        <f t="shared" si="30"/>
        <v>0.19908580854301616</v>
      </c>
      <c r="P218" s="42" t="s">
        <v>866</v>
      </c>
    </row>
    <row r="219" spans="1:16" s="436" customFormat="1">
      <c r="A219" s="636" t="s">
        <v>436</v>
      </c>
      <c r="B219" s="780" t="s">
        <v>492</v>
      </c>
      <c r="C219" s="34" t="s">
        <v>139</v>
      </c>
      <c r="D219" s="122" t="s">
        <v>99</v>
      </c>
      <c r="E219" s="242">
        <f>0.85*0.6</f>
        <v>0.51</v>
      </c>
      <c r="F219" s="9">
        <v>2</v>
      </c>
      <c r="G219" s="9" t="s">
        <v>429</v>
      </c>
      <c r="H219" s="10">
        <v>1</v>
      </c>
      <c r="I219" s="10">
        <v>2</v>
      </c>
      <c r="J219" s="10">
        <v>2</v>
      </c>
      <c r="K219" s="10">
        <v>1</v>
      </c>
      <c r="L219" s="10">
        <v>1</v>
      </c>
      <c r="M219" s="10">
        <v>1</v>
      </c>
      <c r="N219" s="405">
        <f t="shared" si="29"/>
        <v>0.16933510251023262</v>
      </c>
      <c r="O219" s="405">
        <f t="shared" si="30"/>
        <v>0.19908580854301616</v>
      </c>
      <c r="P219" s="43" t="s">
        <v>867</v>
      </c>
    </row>
    <row r="220" spans="1:16" s="436" customFormat="1" ht="15" thickBot="1">
      <c r="A220" s="635" t="s">
        <v>436</v>
      </c>
      <c r="B220" s="784" t="s">
        <v>223</v>
      </c>
      <c r="C220" s="34" t="s">
        <v>139</v>
      </c>
      <c r="D220" s="123" t="s">
        <v>99</v>
      </c>
      <c r="E220" s="753">
        <v>0.15</v>
      </c>
      <c r="F220" s="12">
        <v>1</v>
      </c>
      <c r="G220" s="12" t="s">
        <v>429</v>
      </c>
      <c r="H220" s="14">
        <v>1</v>
      </c>
      <c r="I220" s="14">
        <v>2</v>
      </c>
      <c r="J220" s="14">
        <v>2</v>
      </c>
      <c r="K220" s="14">
        <v>1</v>
      </c>
      <c r="L220" s="14">
        <v>1</v>
      </c>
      <c r="M220" s="14">
        <v>1</v>
      </c>
      <c r="N220" s="428">
        <f t="shared" si="29"/>
        <v>0.16933510251023262</v>
      </c>
      <c r="O220" s="428">
        <f t="shared" si="30"/>
        <v>0.19908580854301616</v>
      </c>
      <c r="P220" s="44" t="s">
        <v>868</v>
      </c>
    </row>
    <row r="221" spans="1:16" s="436" customFormat="1">
      <c r="A221" s="637" t="s">
        <v>491</v>
      </c>
      <c r="B221" s="774" t="s">
        <v>493</v>
      </c>
      <c r="C221" s="34" t="s">
        <v>139</v>
      </c>
      <c r="D221" s="614" t="s">
        <v>99</v>
      </c>
      <c r="E221" s="744">
        <v>0.03</v>
      </c>
      <c r="F221" s="118">
        <v>2</v>
      </c>
      <c r="G221" s="118" t="s">
        <v>429</v>
      </c>
      <c r="H221" s="66">
        <v>1</v>
      </c>
      <c r="I221" s="66">
        <v>2</v>
      </c>
      <c r="J221" s="66">
        <v>2</v>
      </c>
      <c r="K221" s="66">
        <v>1</v>
      </c>
      <c r="L221" s="66">
        <v>1</v>
      </c>
      <c r="M221" s="66">
        <v>1</v>
      </c>
      <c r="N221" s="438">
        <f t="shared" si="29"/>
        <v>0.16933510251023262</v>
      </c>
      <c r="O221" s="438">
        <f t="shared" si="30"/>
        <v>0.19908580854301616</v>
      </c>
      <c r="P221" s="118" t="s">
        <v>851</v>
      </c>
    </row>
    <row r="222" spans="1:16" s="436" customFormat="1" ht="15" thickBot="1">
      <c r="A222" s="638" t="s">
        <v>491</v>
      </c>
      <c r="B222" s="775" t="s">
        <v>494</v>
      </c>
      <c r="C222" s="34" t="s">
        <v>139</v>
      </c>
      <c r="D222" s="124" t="s">
        <v>99</v>
      </c>
      <c r="E222" s="749" t="s">
        <v>150</v>
      </c>
      <c r="F222" s="119">
        <v>1</v>
      </c>
      <c r="G222" s="119" t="s">
        <v>429</v>
      </c>
      <c r="H222" s="15"/>
      <c r="I222" s="15"/>
      <c r="J222" s="15"/>
      <c r="K222" s="15"/>
      <c r="L222" s="15"/>
      <c r="M222" s="15"/>
      <c r="N222" s="424" t="str">
        <f t="shared" si="29"/>
        <v/>
      </c>
      <c r="O222" s="424" t="str">
        <f t="shared" si="30"/>
        <v/>
      </c>
      <c r="P222" s="119" t="s">
        <v>1946</v>
      </c>
    </row>
    <row r="223" spans="1:16" s="436" customFormat="1">
      <c r="A223" s="437" t="s">
        <v>493</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1933</v>
      </c>
    </row>
    <row r="224" spans="1:16" s="436" customFormat="1">
      <c r="A224" s="496" t="s">
        <v>493</v>
      </c>
      <c r="B224" s="496" t="s">
        <v>232</v>
      </c>
      <c r="C224" s="34" t="s">
        <v>139</v>
      </c>
      <c r="D224" s="122" t="s">
        <v>99</v>
      </c>
      <c r="E224" s="242">
        <v>0.39400000000000002</v>
      </c>
      <c r="F224" s="9">
        <v>2</v>
      </c>
      <c r="G224" s="9" t="s">
        <v>429</v>
      </c>
      <c r="H224" s="10">
        <v>1</v>
      </c>
      <c r="I224" s="10">
        <v>2</v>
      </c>
      <c r="J224" s="10">
        <v>2</v>
      </c>
      <c r="K224" s="10">
        <v>1</v>
      </c>
      <c r="L224" s="10">
        <v>1</v>
      </c>
      <c r="M224" s="10">
        <v>1</v>
      </c>
      <c r="N224" s="405">
        <f t="shared" si="29"/>
        <v>0.16933510251023262</v>
      </c>
      <c r="O224" s="405">
        <f t="shared" si="30"/>
        <v>0.19908580854301616</v>
      </c>
      <c r="P224" s="43" t="s">
        <v>1957</v>
      </c>
    </row>
    <row r="225" spans="1:20" s="436" customFormat="1">
      <c r="A225" s="496" t="s">
        <v>493</v>
      </c>
      <c r="B225" s="496" t="s">
        <v>251</v>
      </c>
      <c r="C225" s="34" t="s">
        <v>139</v>
      </c>
      <c r="D225" s="122" t="s">
        <v>99</v>
      </c>
      <c r="E225" s="242">
        <v>0.52200000000000002</v>
      </c>
      <c r="F225" s="7">
        <v>1</v>
      </c>
      <c r="G225" s="9" t="s">
        <v>429</v>
      </c>
      <c r="H225" s="10">
        <v>1</v>
      </c>
      <c r="I225" s="10">
        <v>2</v>
      </c>
      <c r="J225" s="10">
        <v>2</v>
      </c>
      <c r="K225" s="10">
        <v>1</v>
      </c>
      <c r="L225" s="10">
        <v>1</v>
      </c>
      <c r="M225" s="10">
        <v>1</v>
      </c>
      <c r="N225" s="405">
        <f t="shared" si="29"/>
        <v>0.16933510251023262</v>
      </c>
      <c r="O225" s="405">
        <f t="shared" si="30"/>
        <v>0.19908580854301616</v>
      </c>
      <c r="P225" s="43" t="s">
        <v>1958</v>
      </c>
    </row>
    <row r="226" spans="1:20" s="436" customFormat="1" ht="15" thickBot="1">
      <c r="A226" s="773" t="s">
        <v>493</v>
      </c>
      <c r="B226" s="773" t="s">
        <v>258</v>
      </c>
      <c r="C226" s="34" t="s">
        <v>139</v>
      </c>
      <c r="D226" s="123" t="s">
        <v>99</v>
      </c>
      <c r="E226" s="753">
        <v>3.4000000000000002E-2</v>
      </c>
      <c r="F226" s="12">
        <v>2</v>
      </c>
      <c r="G226" s="12" t="s">
        <v>429</v>
      </c>
      <c r="H226" s="14"/>
      <c r="I226" s="14"/>
      <c r="J226" s="14"/>
      <c r="K226" s="14"/>
      <c r="L226" s="14"/>
      <c r="M226" s="14"/>
      <c r="N226" s="428"/>
      <c r="O226" s="428"/>
      <c r="P226" s="44" t="s">
        <v>1959</v>
      </c>
    </row>
    <row r="227" spans="1:20" s="436" customFormat="1">
      <c r="A227" s="637" t="s">
        <v>492</v>
      </c>
      <c r="B227" s="774" t="s">
        <v>495</v>
      </c>
      <c r="C227" s="34" t="s">
        <v>139</v>
      </c>
      <c r="D227" s="614" t="s">
        <v>99</v>
      </c>
      <c r="E227" s="744">
        <f>0.1*E221</f>
        <v>3.0000000000000001E-3</v>
      </c>
      <c r="F227" s="118">
        <v>2</v>
      </c>
      <c r="G227" s="118" t="s">
        <v>429</v>
      </c>
      <c r="H227" s="66">
        <v>1</v>
      </c>
      <c r="I227" s="66">
        <v>2</v>
      </c>
      <c r="J227" s="66">
        <v>2</v>
      </c>
      <c r="K227" s="66">
        <v>1</v>
      </c>
      <c r="L227" s="66">
        <v>1</v>
      </c>
      <c r="M227" s="66">
        <v>1</v>
      </c>
      <c r="N227" s="438">
        <f t="shared" si="29"/>
        <v>0.16933510251023262</v>
      </c>
      <c r="O227" s="438">
        <f t="shared" si="30"/>
        <v>0.19908580854301616</v>
      </c>
      <c r="P227" s="118" t="s">
        <v>852</v>
      </c>
    </row>
    <row r="228" spans="1:20" s="436" customFormat="1" ht="15" thickBot="1">
      <c r="A228" s="638" t="s">
        <v>492</v>
      </c>
      <c r="B228" s="775" t="s">
        <v>496</v>
      </c>
      <c r="C228" s="34" t="s">
        <v>139</v>
      </c>
      <c r="D228" s="124" t="s">
        <v>99</v>
      </c>
      <c r="E228" s="749" t="s">
        <v>150</v>
      </c>
      <c r="F228" s="119">
        <v>1</v>
      </c>
      <c r="G228" s="119" t="s">
        <v>429</v>
      </c>
      <c r="H228" s="15"/>
      <c r="I228" s="15"/>
      <c r="J228" s="15"/>
      <c r="K228" s="15"/>
      <c r="L228" s="15"/>
      <c r="M228" s="15"/>
      <c r="N228" s="424" t="str">
        <f t="shared" si="29"/>
        <v/>
      </c>
      <c r="O228" s="424" t="str">
        <f t="shared" si="30"/>
        <v/>
      </c>
      <c r="P228" s="119" t="s">
        <v>1946</v>
      </c>
    </row>
    <row r="229" spans="1:20" s="436" customFormat="1" ht="15" thickBot="1">
      <c r="A229" s="633" t="s">
        <v>495</v>
      </c>
      <c r="B229" s="785" t="s">
        <v>228</v>
      </c>
      <c r="C229" s="34" t="s">
        <v>139</v>
      </c>
      <c r="D229" s="781" t="s">
        <v>99</v>
      </c>
      <c r="E229" s="751">
        <v>1</v>
      </c>
      <c r="F229" s="750">
        <v>2</v>
      </c>
      <c r="G229" s="750" t="s">
        <v>429</v>
      </c>
      <c r="H229" s="70">
        <v>1</v>
      </c>
      <c r="I229" s="70">
        <v>2</v>
      </c>
      <c r="J229" s="70">
        <v>2</v>
      </c>
      <c r="K229" s="70">
        <v>1</v>
      </c>
      <c r="L229" s="70">
        <v>1</v>
      </c>
      <c r="M229" s="70">
        <v>1</v>
      </c>
      <c r="N229" s="439">
        <f t="shared" si="29"/>
        <v>0.16933510251023262</v>
      </c>
      <c r="O229" s="439">
        <f t="shared" si="30"/>
        <v>0.19908580854301616</v>
      </c>
      <c r="P229" s="752" t="s">
        <v>853</v>
      </c>
    </row>
    <row r="230" spans="1:20" s="436" customFormat="1">
      <c r="A230" s="637" t="s">
        <v>494</v>
      </c>
      <c r="B230" s="783" t="s">
        <v>231</v>
      </c>
      <c r="C230" s="34" t="s">
        <v>139</v>
      </c>
      <c r="D230" s="614" t="s">
        <v>99</v>
      </c>
      <c r="E230" s="744">
        <v>3.2000000000000002E-3</v>
      </c>
      <c r="F230" s="118">
        <v>2</v>
      </c>
      <c r="G230" s="118" t="s">
        <v>1993</v>
      </c>
      <c r="H230" s="66">
        <v>1</v>
      </c>
      <c r="I230" s="66">
        <v>2</v>
      </c>
      <c r="J230" s="66">
        <v>2</v>
      </c>
      <c r="K230" s="66">
        <v>1</v>
      </c>
      <c r="L230" s="15">
        <v>3</v>
      </c>
      <c r="M230" s="13">
        <v>3</v>
      </c>
      <c r="N230" s="438">
        <f t="shared" si="29"/>
        <v>1.0725046436742278</v>
      </c>
      <c r="O230" s="438">
        <f t="shared" si="30"/>
        <v>1.0776024280428556</v>
      </c>
      <c r="P230" s="118" t="s">
        <v>1981</v>
      </c>
      <c r="T230" s="761"/>
    </row>
    <row r="231" spans="1:20" s="436" customFormat="1">
      <c r="A231" s="313" t="s">
        <v>494</v>
      </c>
      <c r="B231" s="780" t="s">
        <v>232</v>
      </c>
      <c r="C231" s="34" t="s">
        <v>139</v>
      </c>
      <c r="D231" s="122" t="s">
        <v>99</v>
      </c>
      <c r="E231" s="242">
        <v>2.5215999999999999E-2</v>
      </c>
      <c r="F231" s="9">
        <v>2</v>
      </c>
      <c r="G231" s="9" t="s">
        <v>429</v>
      </c>
      <c r="H231" s="10">
        <v>1</v>
      </c>
      <c r="I231" s="10">
        <v>2</v>
      </c>
      <c r="J231" s="10">
        <v>2</v>
      </c>
      <c r="K231" s="10">
        <v>1</v>
      </c>
      <c r="L231" s="10">
        <v>1</v>
      </c>
      <c r="M231" s="10">
        <v>1</v>
      </c>
      <c r="N231" s="405">
        <f t="shared" si="29"/>
        <v>0.16933510251023262</v>
      </c>
      <c r="O231" s="405">
        <f t="shared" si="30"/>
        <v>0.19908580854301616</v>
      </c>
      <c r="P231" s="9" t="s">
        <v>1984</v>
      </c>
      <c r="R231" s="757"/>
      <c r="T231" s="761"/>
    </row>
    <row r="232" spans="1:20" s="436" customFormat="1">
      <c r="A232" s="313" t="s">
        <v>494</v>
      </c>
      <c r="B232" s="780" t="s">
        <v>251</v>
      </c>
      <c r="C232" s="34" t="s">
        <v>139</v>
      </c>
      <c r="D232" s="122" t="s">
        <v>99</v>
      </c>
      <c r="E232" s="242">
        <v>3.3408E-2</v>
      </c>
      <c r="F232" s="9">
        <v>2</v>
      </c>
      <c r="G232" s="9" t="s">
        <v>429</v>
      </c>
      <c r="H232" s="10">
        <v>1</v>
      </c>
      <c r="I232" s="10">
        <v>2</v>
      </c>
      <c r="J232" s="10">
        <v>2</v>
      </c>
      <c r="K232" s="10">
        <v>1</v>
      </c>
      <c r="L232" s="10">
        <v>1</v>
      </c>
      <c r="M232" s="10">
        <v>1</v>
      </c>
      <c r="N232" s="405">
        <f t="shared" si="29"/>
        <v>0.16933510251023262</v>
      </c>
      <c r="O232" s="405">
        <f t="shared" si="30"/>
        <v>0.19908580854301616</v>
      </c>
      <c r="P232" s="9" t="s">
        <v>1982</v>
      </c>
      <c r="T232" s="761"/>
    </row>
    <row r="233" spans="1:20" s="436" customFormat="1">
      <c r="A233" s="313" t="s">
        <v>494</v>
      </c>
      <c r="B233" s="775" t="s">
        <v>258</v>
      </c>
      <c r="C233" s="34" t="s">
        <v>139</v>
      </c>
      <c r="D233" s="124" t="s">
        <v>99</v>
      </c>
      <c r="E233" s="749">
        <v>2.176E-3</v>
      </c>
      <c r="F233" s="119">
        <v>2</v>
      </c>
      <c r="G233" s="119" t="s">
        <v>429</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1983</v>
      </c>
      <c r="T233" s="761"/>
    </row>
    <row r="234" spans="1:20" s="436" customFormat="1" ht="15" thickBot="1">
      <c r="A234" s="638" t="s">
        <v>494</v>
      </c>
      <c r="B234" s="784" t="s">
        <v>333</v>
      </c>
      <c r="C234" s="34" t="s">
        <v>139</v>
      </c>
      <c r="D234" s="124" t="s">
        <v>99</v>
      </c>
      <c r="E234" s="749" t="s">
        <v>150</v>
      </c>
      <c r="F234" s="119">
        <v>1</v>
      </c>
      <c r="G234" s="119" t="s">
        <v>429</v>
      </c>
      <c r="H234" s="15"/>
      <c r="I234" s="15"/>
      <c r="J234" s="15"/>
      <c r="K234" s="15"/>
      <c r="L234" s="15"/>
      <c r="M234" s="15"/>
      <c r="N234" s="424" t="str">
        <f t="shared" si="29"/>
        <v/>
      </c>
      <c r="O234" s="424" t="str">
        <f t="shared" si="30"/>
        <v/>
      </c>
      <c r="P234" s="119"/>
      <c r="T234" s="761"/>
    </row>
    <row r="235" spans="1:20" s="436" customFormat="1">
      <c r="A235" s="634" t="s">
        <v>496</v>
      </c>
      <c r="B235" s="783" t="s">
        <v>228</v>
      </c>
      <c r="C235" s="34" t="s">
        <v>139</v>
      </c>
      <c r="D235" s="121" t="s">
        <v>99</v>
      </c>
      <c r="E235" s="632">
        <v>6.4000000000000001E-2</v>
      </c>
      <c r="F235" s="11">
        <v>2</v>
      </c>
      <c r="G235" s="11" t="s">
        <v>429</v>
      </c>
      <c r="H235" s="13">
        <v>1</v>
      </c>
      <c r="I235" s="13">
        <v>2</v>
      </c>
      <c r="J235" s="13">
        <v>2</v>
      </c>
      <c r="K235" s="13">
        <v>1</v>
      </c>
      <c r="L235" s="13">
        <v>1</v>
      </c>
      <c r="M235" s="13">
        <v>1</v>
      </c>
      <c r="N235" s="425">
        <f t="shared" si="29"/>
        <v>0.16933510251023262</v>
      </c>
      <c r="O235" s="425">
        <f t="shared" si="30"/>
        <v>0.19908580854301616</v>
      </c>
      <c r="P235" s="42" t="s">
        <v>869</v>
      </c>
    </row>
    <row r="236" spans="1:20" s="436" customFormat="1" ht="15" thickBot="1">
      <c r="A236" s="635" t="s">
        <v>496</v>
      </c>
      <c r="B236" s="784" t="s">
        <v>333</v>
      </c>
      <c r="C236" s="34" t="s">
        <v>139</v>
      </c>
      <c r="D236" s="123" t="s">
        <v>99</v>
      </c>
      <c r="E236" s="753" t="s">
        <v>150</v>
      </c>
      <c r="F236" s="12">
        <v>1</v>
      </c>
      <c r="G236" s="12" t="s">
        <v>429</v>
      </c>
      <c r="H236" s="14"/>
      <c r="I236" s="14"/>
      <c r="J236" s="14"/>
      <c r="K236" s="14"/>
      <c r="L236" s="14"/>
      <c r="M236" s="14"/>
      <c r="N236" s="428" t="str">
        <f t="shared" si="29"/>
        <v/>
      </c>
      <c r="O236" s="428" t="str">
        <f t="shared" si="30"/>
        <v/>
      </c>
      <c r="P236" s="44" t="s">
        <v>1947</v>
      </c>
    </row>
    <row r="237" spans="1:20" s="436" customFormat="1">
      <c r="A237" s="637" t="s">
        <v>437</v>
      </c>
      <c r="B237" s="774" t="s">
        <v>497</v>
      </c>
      <c r="C237" s="34" t="s">
        <v>139</v>
      </c>
      <c r="D237" s="614" t="s">
        <v>99</v>
      </c>
      <c r="E237" s="744">
        <f>0.85*0.6</f>
        <v>0.51</v>
      </c>
      <c r="F237" s="118">
        <v>2</v>
      </c>
      <c r="G237" s="118" t="s">
        <v>429</v>
      </c>
      <c r="H237" s="66">
        <v>1</v>
      </c>
      <c r="I237" s="66">
        <v>2</v>
      </c>
      <c r="J237" s="66">
        <v>2</v>
      </c>
      <c r="K237" s="66">
        <v>1</v>
      </c>
      <c r="L237" s="66">
        <v>1</v>
      </c>
      <c r="M237" s="66">
        <v>1</v>
      </c>
      <c r="N237" s="438">
        <f t="shared" si="29"/>
        <v>0.16933510251023262</v>
      </c>
      <c r="O237" s="438">
        <f t="shared" si="30"/>
        <v>0.19908580854301616</v>
      </c>
      <c r="P237" s="118" t="s">
        <v>870</v>
      </c>
    </row>
    <row r="238" spans="1:20" s="436" customFormat="1">
      <c r="A238" s="313" t="s">
        <v>437</v>
      </c>
      <c r="B238" s="780" t="s">
        <v>498</v>
      </c>
      <c r="C238" s="34" t="s">
        <v>139</v>
      </c>
      <c r="D238" s="122" t="s">
        <v>99</v>
      </c>
      <c r="E238" s="242">
        <f>0.85*0.4</f>
        <v>0.34</v>
      </c>
      <c r="F238" s="9">
        <v>2</v>
      </c>
      <c r="G238" s="9" t="s">
        <v>429</v>
      </c>
      <c r="H238" s="10">
        <v>1</v>
      </c>
      <c r="I238" s="10">
        <v>2</v>
      </c>
      <c r="J238" s="10">
        <v>2</v>
      </c>
      <c r="K238" s="10">
        <v>1</v>
      </c>
      <c r="L238" s="10">
        <v>1</v>
      </c>
      <c r="M238" s="10">
        <v>1</v>
      </c>
      <c r="N238" s="405">
        <f t="shared" si="29"/>
        <v>0.16933510251023262</v>
      </c>
      <c r="O238" s="405">
        <f t="shared" si="30"/>
        <v>0.19908580854301616</v>
      </c>
      <c r="P238" s="9" t="s">
        <v>871</v>
      </c>
    </row>
    <row r="239" spans="1:20" s="436" customFormat="1" ht="15" thickBot="1">
      <c r="A239" s="638" t="s">
        <v>437</v>
      </c>
      <c r="B239" s="775" t="s">
        <v>223</v>
      </c>
      <c r="C239" s="34" t="s">
        <v>139</v>
      </c>
      <c r="D239" s="124" t="s">
        <v>99</v>
      </c>
      <c r="E239" s="749">
        <v>0.15</v>
      </c>
      <c r="F239" s="119">
        <v>1</v>
      </c>
      <c r="G239" s="119" t="s">
        <v>429</v>
      </c>
      <c r="H239" s="15">
        <v>1</v>
      </c>
      <c r="I239" s="15">
        <v>2</v>
      </c>
      <c r="J239" s="15">
        <v>2</v>
      </c>
      <c r="K239" s="15">
        <v>1</v>
      </c>
      <c r="L239" s="15">
        <v>1</v>
      </c>
      <c r="M239" s="15">
        <v>1</v>
      </c>
      <c r="N239" s="424">
        <f t="shared" si="29"/>
        <v>0.16933510251023262</v>
      </c>
      <c r="O239" s="424">
        <f t="shared" si="30"/>
        <v>0.19908580854301616</v>
      </c>
      <c r="P239" s="119" t="s">
        <v>868</v>
      </c>
    </row>
    <row r="240" spans="1:20" s="436" customFormat="1">
      <c r="A240" s="634" t="s">
        <v>497</v>
      </c>
      <c r="B240" s="783" t="s">
        <v>499</v>
      </c>
      <c r="C240" s="34" t="s">
        <v>139</v>
      </c>
      <c r="D240" s="121" t="s">
        <v>99</v>
      </c>
      <c r="E240" s="632">
        <v>0.15</v>
      </c>
      <c r="F240" s="11">
        <v>2</v>
      </c>
      <c r="G240" s="11" t="s">
        <v>429</v>
      </c>
      <c r="H240" s="13">
        <v>1</v>
      </c>
      <c r="I240" s="13">
        <v>2</v>
      </c>
      <c r="J240" s="13">
        <v>2</v>
      </c>
      <c r="K240" s="13">
        <v>1</v>
      </c>
      <c r="L240" s="13">
        <v>1</v>
      </c>
      <c r="M240" s="13">
        <v>1</v>
      </c>
      <c r="N240" s="425">
        <f t="shared" si="29"/>
        <v>0.16933510251023262</v>
      </c>
      <c r="O240" s="425">
        <f t="shared" si="30"/>
        <v>0.19908580854301616</v>
      </c>
      <c r="P240" s="42" t="s">
        <v>872</v>
      </c>
    </row>
    <row r="241" spans="1:16" s="436" customFormat="1" ht="15" thickBot="1">
      <c r="A241" s="635" t="s">
        <v>497</v>
      </c>
      <c r="B241" s="784" t="s">
        <v>500</v>
      </c>
      <c r="C241" s="34" t="s">
        <v>139</v>
      </c>
      <c r="D241" s="123" t="s">
        <v>99</v>
      </c>
      <c r="E241" s="753" t="s">
        <v>150</v>
      </c>
      <c r="F241" s="12">
        <v>1</v>
      </c>
      <c r="G241" s="12" t="s">
        <v>429</v>
      </c>
      <c r="H241" s="14"/>
      <c r="I241" s="14"/>
      <c r="J241" s="14"/>
      <c r="K241" s="14"/>
      <c r="L241" s="14"/>
      <c r="M241" s="14"/>
      <c r="N241" s="428" t="str">
        <f t="shared" si="29"/>
        <v/>
      </c>
      <c r="O241" s="428" t="str">
        <f t="shared" si="30"/>
        <v/>
      </c>
      <c r="P241" s="44" t="s">
        <v>1948</v>
      </c>
    </row>
    <row r="242" spans="1:16" s="436" customFormat="1">
      <c r="A242" s="637" t="s">
        <v>499</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1933</v>
      </c>
    </row>
    <row r="243" spans="1:16" s="436" customFormat="1">
      <c r="A243" s="313" t="s">
        <v>499</v>
      </c>
      <c r="B243" s="780" t="s">
        <v>232</v>
      </c>
      <c r="C243" s="34" t="s">
        <v>139</v>
      </c>
      <c r="D243" s="122" t="s">
        <v>99</v>
      </c>
      <c r="E243" s="242">
        <v>0.39400000000000002</v>
      </c>
      <c r="F243" s="9">
        <v>2</v>
      </c>
      <c r="G243" s="9" t="s">
        <v>429</v>
      </c>
      <c r="H243" s="10">
        <v>1</v>
      </c>
      <c r="I243" s="10">
        <v>2</v>
      </c>
      <c r="J243" s="10">
        <v>2</v>
      </c>
      <c r="K243" s="10">
        <v>1</v>
      </c>
      <c r="L243" s="10">
        <v>1</v>
      </c>
      <c r="M243" s="10">
        <v>1</v>
      </c>
      <c r="N243" s="405">
        <f t="shared" si="29"/>
        <v>0.16933510251023262</v>
      </c>
      <c r="O243" s="405">
        <f t="shared" si="30"/>
        <v>0.19908580854301616</v>
      </c>
      <c r="P243" s="9" t="s">
        <v>1957</v>
      </c>
    </row>
    <row r="244" spans="1:16" s="436" customFormat="1">
      <c r="A244" s="638" t="s">
        <v>499</v>
      </c>
      <c r="B244" s="775" t="s">
        <v>251</v>
      </c>
      <c r="C244" s="34" t="s">
        <v>139</v>
      </c>
      <c r="D244" s="124" t="s">
        <v>99</v>
      </c>
      <c r="E244" s="242">
        <v>0.52200000000000002</v>
      </c>
      <c r="F244" s="7">
        <v>1</v>
      </c>
      <c r="G244" s="9" t="s">
        <v>429</v>
      </c>
      <c r="H244" s="15">
        <v>1</v>
      </c>
      <c r="I244" s="15">
        <v>2</v>
      </c>
      <c r="J244" s="15">
        <v>2</v>
      </c>
      <c r="K244" s="15">
        <v>1</v>
      </c>
      <c r="L244" s="15">
        <v>1</v>
      </c>
      <c r="M244" s="15">
        <v>1</v>
      </c>
      <c r="N244" s="424">
        <f t="shared" si="29"/>
        <v>0.16933510251023262</v>
      </c>
      <c r="O244" s="424">
        <f t="shared" si="30"/>
        <v>0.19908580854301616</v>
      </c>
      <c r="P244" s="9" t="s">
        <v>1958</v>
      </c>
    </row>
    <row r="245" spans="1:16" s="436" customFormat="1" ht="15" thickBot="1">
      <c r="A245" s="638" t="s">
        <v>499</v>
      </c>
      <c r="B245" s="775" t="s">
        <v>258</v>
      </c>
      <c r="C245" s="34" t="s">
        <v>139</v>
      </c>
      <c r="D245" s="124" t="s">
        <v>99</v>
      </c>
      <c r="E245" s="749">
        <v>3.4000000000000002E-2</v>
      </c>
      <c r="F245" s="119">
        <v>2</v>
      </c>
      <c r="G245" s="9" t="s">
        <v>429</v>
      </c>
      <c r="H245" s="15"/>
      <c r="I245" s="15"/>
      <c r="J245" s="15"/>
      <c r="K245" s="15"/>
      <c r="L245" s="15"/>
      <c r="M245" s="15"/>
      <c r="N245" s="424"/>
      <c r="O245" s="424"/>
      <c r="P245" s="119" t="s">
        <v>1959</v>
      </c>
    </row>
    <row r="246" spans="1:16" s="436" customFormat="1">
      <c r="A246" s="634" t="s">
        <v>498</v>
      </c>
      <c r="B246" s="783" t="s">
        <v>501</v>
      </c>
      <c r="C246" s="34" t="s">
        <v>139</v>
      </c>
      <c r="D246" s="121" t="s">
        <v>99</v>
      </c>
      <c r="E246" s="632">
        <f>0.1*E240</f>
        <v>1.4999999999999999E-2</v>
      </c>
      <c r="F246" s="11">
        <v>2</v>
      </c>
      <c r="G246" s="11" t="s">
        <v>429</v>
      </c>
      <c r="H246" s="13">
        <v>1</v>
      </c>
      <c r="I246" s="13">
        <v>2</v>
      </c>
      <c r="J246" s="13">
        <v>2</v>
      </c>
      <c r="K246" s="13">
        <v>1</v>
      </c>
      <c r="L246" s="13">
        <v>1</v>
      </c>
      <c r="M246" s="13">
        <v>1</v>
      </c>
      <c r="N246" s="425">
        <f t="shared" si="29"/>
        <v>0.16933510251023262</v>
      </c>
      <c r="O246" s="425">
        <f t="shared" si="30"/>
        <v>0.19908580854301616</v>
      </c>
      <c r="P246" s="42" t="s">
        <v>852</v>
      </c>
    </row>
    <row r="247" spans="1:16" s="436" customFormat="1" ht="15" thickBot="1">
      <c r="A247" s="635" t="s">
        <v>498</v>
      </c>
      <c r="B247" s="784" t="s">
        <v>502</v>
      </c>
      <c r="C247" s="34" t="s">
        <v>139</v>
      </c>
      <c r="D247" s="123" t="s">
        <v>99</v>
      </c>
      <c r="E247" s="753" t="s">
        <v>150</v>
      </c>
      <c r="F247" s="12">
        <v>1</v>
      </c>
      <c r="G247" s="12" t="s">
        <v>429</v>
      </c>
      <c r="H247" s="14"/>
      <c r="I247" s="14"/>
      <c r="J247" s="14"/>
      <c r="K247" s="14"/>
      <c r="L247" s="14"/>
      <c r="M247" s="14"/>
      <c r="N247" s="428" t="str">
        <f t="shared" si="29"/>
        <v/>
      </c>
      <c r="O247" s="428" t="str">
        <f t="shared" si="30"/>
        <v/>
      </c>
      <c r="P247" s="44" t="s">
        <v>1948</v>
      </c>
    </row>
    <row r="248" spans="1:16" s="436" customFormat="1" ht="15" thickBot="1">
      <c r="A248" s="758" t="s">
        <v>501</v>
      </c>
      <c r="B248" s="777" t="s">
        <v>228</v>
      </c>
      <c r="C248" s="34" t="s">
        <v>139</v>
      </c>
      <c r="D248" s="787" t="s">
        <v>99</v>
      </c>
      <c r="E248" s="755">
        <v>1</v>
      </c>
      <c r="F248" s="754">
        <v>2</v>
      </c>
      <c r="G248" s="754" t="s">
        <v>429</v>
      </c>
      <c r="H248" s="71">
        <v>1</v>
      </c>
      <c r="I248" s="71">
        <v>2</v>
      </c>
      <c r="J248" s="71">
        <v>2</v>
      </c>
      <c r="K248" s="71">
        <v>1</v>
      </c>
      <c r="L248" s="71">
        <v>1</v>
      </c>
      <c r="M248" s="71">
        <v>1</v>
      </c>
      <c r="N248" s="759">
        <f t="shared" si="29"/>
        <v>0.16933510251023262</v>
      </c>
      <c r="O248" s="759">
        <f t="shared" si="30"/>
        <v>0.19908580854301616</v>
      </c>
      <c r="P248" s="754" t="s">
        <v>853</v>
      </c>
    </row>
    <row r="249" spans="1:16" s="436" customFormat="1">
      <c r="A249" s="437" t="s">
        <v>500</v>
      </c>
      <c r="B249" s="437" t="s">
        <v>231</v>
      </c>
      <c r="C249" s="34" t="s">
        <v>139</v>
      </c>
      <c r="D249" s="121" t="s">
        <v>99</v>
      </c>
      <c r="E249" s="632">
        <v>0</v>
      </c>
      <c r="F249" s="11">
        <v>2</v>
      </c>
      <c r="G249" s="11" t="s">
        <v>429</v>
      </c>
      <c r="H249" s="13">
        <v>1</v>
      </c>
      <c r="I249" s="13">
        <v>2</v>
      </c>
      <c r="J249" s="13">
        <v>2</v>
      </c>
      <c r="K249" s="13">
        <v>1</v>
      </c>
      <c r="L249" s="772">
        <v>1</v>
      </c>
      <c r="M249" s="13">
        <v>1</v>
      </c>
      <c r="N249" s="425">
        <f t="shared" si="29"/>
        <v>0.16933510251023262</v>
      </c>
      <c r="O249" s="425">
        <f t="shared" si="30"/>
        <v>0.19908580854301616</v>
      </c>
      <c r="P249" s="42" t="s">
        <v>1962</v>
      </c>
    </row>
    <row r="250" spans="1:16" s="436" customFormat="1">
      <c r="A250" s="496" t="s">
        <v>500</v>
      </c>
      <c r="B250" s="496" t="s">
        <v>232</v>
      </c>
      <c r="C250" s="34" t="s">
        <v>139</v>
      </c>
      <c r="D250" s="122" t="s">
        <v>99</v>
      </c>
      <c r="E250" s="242">
        <v>0</v>
      </c>
      <c r="F250" s="9">
        <v>2</v>
      </c>
      <c r="G250" s="9" t="s">
        <v>429</v>
      </c>
      <c r="H250" s="10">
        <v>1</v>
      </c>
      <c r="I250" s="10">
        <v>2</v>
      </c>
      <c r="J250" s="10">
        <v>2</v>
      </c>
      <c r="K250" s="10">
        <v>1</v>
      </c>
      <c r="L250" s="10">
        <v>1</v>
      </c>
      <c r="M250" s="10">
        <v>1</v>
      </c>
      <c r="N250" s="405">
        <f t="shared" si="29"/>
        <v>0.16933510251023262</v>
      </c>
      <c r="O250" s="405">
        <f t="shared" si="30"/>
        <v>0.19908580854301616</v>
      </c>
      <c r="P250" s="43" t="s">
        <v>1962</v>
      </c>
    </row>
    <row r="251" spans="1:16" s="436" customFormat="1">
      <c r="A251" s="496" t="s">
        <v>500</v>
      </c>
      <c r="B251" s="496" t="s">
        <v>251</v>
      </c>
      <c r="C251" s="34" t="s">
        <v>139</v>
      </c>
      <c r="D251" s="122" t="s">
        <v>99</v>
      </c>
      <c r="E251" s="242">
        <v>0</v>
      </c>
      <c r="F251" s="9">
        <v>2</v>
      </c>
      <c r="G251" s="9" t="s">
        <v>429</v>
      </c>
      <c r="H251" s="10">
        <v>1</v>
      </c>
      <c r="I251" s="10">
        <v>2</v>
      </c>
      <c r="J251" s="10">
        <v>2</v>
      </c>
      <c r="K251" s="10">
        <v>1</v>
      </c>
      <c r="L251" s="10">
        <v>1</v>
      </c>
      <c r="M251" s="10">
        <v>1</v>
      </c>
      <c r="N251" s="405">
        <f t="shared" si="29"/>
        <v>0.16933510251023262</v>
      </c>
      <c r="O251" s="405">
        <f t="shared" si="30"/>
        <v>0.19908580854301616</v>
      </c>
      <c r="P251" s="43" t="s">
        <v>1962</v>
      </c>
    </row>
    <row r="252" spans="1:16" s="436" customFormat="1">
      <c r="A252" s="496" t="s">
        <v>500</v>
      </c>
      <c r="B252" s="782" t="s">
        <v>258</v>
      </c>
      <c r="C252" s="34" t="s">
        <v>139</v>
      </c>
      <c r="D252" s="124" t="s">
        <v>99</v>
      </c>
      <c r="E252" s="749">
        <v>0</v>
      </c>
      <c r="F252" s="119">
        <v>2</v>
      </c>
      <c r="G252" s="119" t="s">
        <v>429</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1962</v>
      </c>
    </row>
    <row r="253" spans="1:16" s="436" customFormat="1" ht="15" thickBot="1">
      <c r="A253" s="773" t="s">
        <v>500</v>
      </c>
      <c r="B253" s="773" t="s">
        <v>333</v>
      </c>
      <c r="C253" s="34" t="s">
        <v>139</v>
      </c>
      <c r="D253" s="123" t="s">
        <v>99</v>
      </c>
      <c r="E253" s="753" t="s">
        <v>150</v>
      </c>
      <c r="F253" s="12">
        <v>1</v>
      </c>
      <c r="G253" s="12" t="s">
        <v>429</v>
      </c>
      <c r="H253" s="14"/>
      <c r="I253" s="14"/>
      <c r="J253" s="14"/>
      <c r="K253" s="14"/>
      <c r="L253" s="14"/>
      <c r="M253" s="14"/>
      <c r="N253" s="428" t="str">
        <f t="shared" si="29"/>
        <v/>
      </c>
      <c r="O253" s="428" t="str">
        <f t="shared" si="30"/>
        <v/>
      </c>
      <c r="P253" s="44"/>
    </row>
    <row r="254" spans="1:16" s="436" customFormat="1">
      <c r="A254" s="637" t="s">
        <v>502</v>
      </c>
      <c r="B254" s="774" t="s">
        <v>228</v>
      </c>
      <c r="C254" s="34" t="s">
        <v>139</v>
      </c>
      <c r="D254" s="614" t="s">
        <v>99</v>
      </c>
      <c r="E254" s="744">
        <v>0</v>
      </c>
      <c r="F254" s="118">
        <v>2</v>
      </c>
      <c r="G254" s="118" t="s">
        <v>429</v>
      </c>
      <c r="H254" s="66">
        <v>1</v>
      </c>
      <c r="I254" s="66">
        <v>2</v>
      </c>
      <c r="J254" s="66">
        <v>2</v>
      </c>
      <c r="K254" s="66">
        <v>1</v>
      </c>
      <c r="L254" s="66">
        <v>1</v>
      </c>
      <c r="M254" s="66">
        <v>1</v>
      </c>
      <c r="N254" s="438">
        <f t="shared" si="29"/>
        <v>0.16933510251023262</v>
      </c>
      <c r="O254" s="438">
        <f t="shared" si="30"/>
        <v>0.19908580854301616</v>
      </c>
      <c r="P254" s="118" t="s">
        <v>854</v>
      </c>
    </row>
    <row r="255" spans="1:16" s="436" customFormat="1" ht="15" thickBot="1">
      <c r="A255" s="638" t="s">
        <v>502</v>
      </c>
      <c r="B255" s="775" t="s">
        <v>333</v>
      </c>
      <c r="C255" s="34" t="s">
        <v>139</v>
      </c>
      <c r="D255" s="124" t="s">
        <v>99</v>
      </c>
      <c r="E255" s="749" t="s">
        <v>150</v>
      </c>
      <c r="F255" s="119">
        <v>1</v>
      </c>
      <c r="G255" s="119" t="s">
        <v>429</v>
      </c>
      <c r="H255" s="15">
        <v>1</v>
      </c>
      <c r="I255" s="15">
        <v>2</v>
      </c>
      <c r="J255" s="15">
        <v>2</v>
      </c>
      <c r="K255" s="15">
        <v>1</v>
      </c>
      <c r="L255" s="15">
        <v>1</v>
      </c>
      <c r="M255" s="15">
        <v>1</v>
      </c>
      <c r="N255" s="424">
        <f t="shared" si="29"/>
        <v>0.16933510251023262</v>
      </c>
      <c r="O255" s="424">
        <f t="shared" si="30"/>
        <v>0.19908580854301616</v>
      </c>
      <c r="P255" s="119" t="s">
        <v>1949</v>
      </c>
    </row>
    <row r="256" spans="1:16" s="436" customFormat="1">
      <c r="A256" s="634" t="s">
        <v>438</v>
      </c>
      <c r="B256" s="783" t="s">
        <v>503</v>
      </c>
      <c r="C256" s="34" t="s">
        <v>139</v>
      </c>
      <c r="D256" s="121" t="s">
        <v>99</v>
      </c>
      <c r="E256" s="632">
        <v>0</v>
      </c>
      <c r="F256" s="11">
        <v>2</v>
      </c>
      <c r="G256" s="11" t="s">
        <v>429</v>
      </c>
      <c r="H256" s="13">
        <v>1</v>
      </c>
      <c r="I256" s="13">
        <v>2</v>
      </c>
      <c r="J256" s="13">
        <v>2</v>
      </c>
      <c r="K256" s="13">
        <v>1</v>
      </c>
      <c r="L256" s="13">
        <v>1</v>
      </c>
      <c r="M256" s="13">
        <v>1</v>
      </c>
      <c r="N256" s="425">
        <f t="shared" si="29"/>
        <v>0.16933510251023262</v>
      </c>
      <c r="O256" s="425">
        <f t="shared" si="30"/>
        <v>0.19908580854301616</v>
      </c>
      <c r="P256" s="42" t="s">
        <v>873</v>
      </c>
    </row>
    <row r="257" spans="1:16" s="436" customFormat="1">
      <c r="A257" s="636" t="s">
        <v>438</v>
      </c>
      <c r="B257" s="780" t="s">
        <v>504</v>
      </c>
      <c r="C257" s="34" t="s">
        <v>139</v>
      </c>
      <c r="D257" s="122" t="s">
        <v>99</v>
      </c>
      <c r="E257" s="242">
        <v>0.85</v>
      </c>
      <c r="F257" s="9">
        <v>2</v>
      </c>
      <c r="G257" s="9" t="s">
        <v>429</v>
      </c>
      <c r="H257" s="10">
        <v>1</v>
      </c>
      <c r="I257" s="10">
        <v>2</v>
      </c>
      <c r="J257" s="10">
        <v>2</v>
      </c>
      <c r="K257" s="10">
        <v>1</v>
      </c>
      <c r="L257" s="10">
        <v>1</v>
      </c>
      <c r="M257" s="10">
        <v>1</v>
      </c>
      <c r="N257" s="405">
        <f t="shared" si="29"/>
        <v>0.16933510251023262</v>
      </c>
      <c r="O257" s="405">
        <f t="shared" si="30"/>
        <v>0.19908580854301616</v>
      </c>
      <c r="P257" s="43" t="s">
        <v>874</v>
      </c>
    </row>
    <row r="258" spans="1:16" s="436" customFormat="1" ht="15" thickBot="1">
      <c r="A258" s="635" t="s">
        <v>438</v>
      </c>
      <c r="B258" s="784" t="s">
        <v>223</v>
      </c>
      <c r="C258" s="34" t="s">
        <v>139</v>
      </c>
      <c r="D258" s="123" t="s">
        <v>99</v>
      </c>
      <c r="E258" s="753">
        <v>0.15</v>
      </c>
      <c r="F258" s="12">
        <v>1</v>
      </c>
      <c r="G258" s="12" t="s">
        <v>429</v>
      </c>
      <c r="H258" s="14">
        <v>1</v>
      </c>
      <c r="I258" s="14">
        <v>2</v>
      </c>
      <c r="J258" s="14">
        <v>2</v>
      </c>
      <c r="K258" s="14">
        <v>1</v>
      </c>
      <c r="L258" s="14">
        <v>1</v>
      </c>
      <c r="M258" s="14">
        <v>1</v>
      </c>
      <c r="N258" s="428">
        <f t="shared" si="29"/>
        <v>0.16933510251023262</v>
      </c>
      <c r="O258" s="428">
        <f t="shared" si="30"/>
        <v>0.19908580854301616</v>
      </c>
      <c r="P258" s="44" t="s">
        <v>868</v>
      </c>
    </row>
    <row r="259" spans="1:16" s="436" customFormat="1">
      <c r="A259" s="774" t="s">
        <v>503</v>
      </c>
      <c r="B259" s="437" t="s">
        <v>506</v>
      </c>
      <c r="C259" s="34" t="s">
        <v>139</v>
      </c>
      <c r="D259" s="121" t="s">
        <v>99</v>
      </c>
      <c r="E259" s="632">
        <v>0.03</v>
      </c>
      <c r="F259" s="11">
        <v>2</v>
      </c>
      <c r="G259" s="11" t="s">
        <v>429</v>
      </c>
      <c r="H259" s="13">
        <v>1</v>
      </c>
      <c r="I259" s="13">
        <v>2</v>
      </c>
      <c r="J259" s="13">
        <v>2</v>
      </c>
      <c r="K259" s="13">
        <v>1</v>
      </c>
      <c r="L259" s="13">
        <v>1</v>
      </c>
      <c r="M259" s="13">
        <v>1</v>
      </c>
      <c r="N259" s="425">
        <f t="shared" si="29"/>
        <v>0.16933510251023262</v>
      </c>
      <c r="O259" s="425">
        <f t="shared" si="30"/>
        <v>0.19908580854301616</v>
      </c>
      <c r="P259" s="42" t="s">
        <v>851</v>
      </c>
    </row>
    <row r="260" spans="1:16" s="436" customFormat="1" ht="15" thickBot="1">
      <c r="A260" s="775" t="s">
        <v>503</v>
      </c>
      <c r="B260" s="773" t="s">
        <v>507</v>
      </c>
      <c r="C260" s="34" t="s">
        <v>139</v>
      </c>
      <c r="D260" s="123" t="s">
        <v>99</v>
      </c>
      <c r="E260" s="753" t="s">
        <v>150</v>
      </c>
      <c r="F260" s="12">
        <v>1</v>
      </c>
      <c r="G260" s="12" t="s">
        <v>429</v>
      </c>
      <c r="H260" s="14"/>
      <c r="I260" s="14"/>
      <c r="J260" s="14"/>
      <c r="K260" s="14"/>
      <c r="L260" s="14"/>
      <c r="M260" s="14"/>
      <c r="N260" s="428" t="str">
        <f t="shared" si="29"/>
        <v/>
      </c>
      <c r="O260" s="428" t="str">
        <f t="shared" si="30"/>
        <v/>
      </c>
      <c r="P260" s="44" t="s">
        <v>1950</v>
      </c>
    </row>
    <row r="261" spans="1:16" s="436" customFormat="1">
      <c r="A261" s="634" t="s">
        <v>506</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1933</v>
      </c>
    </row>
    <row r="262" spans="1:16" s="436" customFormat="1">
      <c r="A262" s="636" t="s">
        <v>506</v>
      </c>
      <c r="B262" s="780" t="s">
        <v>232</v>
      </c>
      <c r="C262" s="34" t="s">
        <v>139</v>
      </c>
      <c r="D262" s="122" t="s">
        <v>99</v>
      </c>
      <c r="E262" s="242">
        <v>0.39400000000000002</v>
      </c>
      <c r="F262" s="9">
        <v>2</v>
      </c>
      <c r="G262" s="9" t="s">
        <v>429</v>
      </c>
      <c r="H262" s="10">
        <v>1</v>
      </c>
      <c r="I262" s="10">
        <v>2</v>
      </c>
      <c r="J262" s="10">
        <v>2</v>
      </c>
      <c r="K262" s="10">
        <v>1</v>
      </c>
      <c r="L262" s="10">
        <v>1</v>
      </c>
      <c r="M262" s="10">
        <v>1</v>
      </c>
      <c r="N262" s="405">
        <f t="shared" si="29"/>
        <v>0.16933510251023262</v>
      </c>
      <c r="O262" s="405">
        <f t="shared" si="30"/>
        <v>0.19908580854301616</v>
      </c>
      <c r="P262" s="43" t="s">
        <v>1957</v>
      </c>
    </row>
    <row r="263" spans="1:16" s="436" customFormat="1">
      <c r="A263" s="636" t="s">
        <v>506</v>
      </c>
      <c r="B263" s="780" t="s">
        <v>251</v>
      </c>
      <c r="C263" s="34" t="s">
        <v>139</v>
      </c>
      <c r="D263" s="122" t="s">
        <v>99</v>
      </c>
      <c r="E263" s="242">
        <v>0.52200000000000002</v>
      </c>
      <c r="F263" s="7">
        <v>1</v>
      </c>
      <c r="G263" s="9" t="s">
        <v>429</v>
      </c>
      <c r="H263" s="10">
        <v>1</v>
      </c>
      <c r="I263" s="10">
        <v>2</v>
      </c>
      <c r="J263" s="10">
        <v>2</v>
      </c>
      <c r="K263" s="10">
        <v>1</v>
      </c>
      <c r="L263" s="10">
        <v>1</v>
      </c>
      <c r="M263" s="10">
        <v>1</v>
      </c>
      <c r="N263" s="405">
        <f t="shared" si="29"/>
        <v>0.16933510251023262</v>
      </c>
      <c r="O263" s="405">
        <f t="shared" si="30"/>
        <v>0.19908580854301616</v>
      </c>
      <c r="P263" s="43" t="s">
        <v>1958</v>
      </c>
    </row>
    <row r="264" spans="1:16" s="436" customFormat="1" ht="15" thickBot="1">
      <c r="A264" s="635" t="s">
        <v>506</v>
      </c>
      <c r="B264" s="775" t="s">
        <v>258</v>
      </c>
      <c r="C264" s="34" t="s">
        <v>139</v>
      </c>
      <c r="D264" s="124" t="s">
        <v>99</v>
      </c>
      <c r="E264" s="749">
        <v>3.4000000000000002E-2</v>
      </c>
      <c r="F264" s="119">
        <v>2</v>
      </c>
      <c r="G264" s="119" t="s">
        <v>429</v>
      </c>
      <c r="H264" s="15"/>
      <c r="I264" s="15"/>
      <c r="J264" s="15"/>
      <c r="K264" s="15"/>
      <c r="L264" s="15"/>
      <c r="M264" s="15"/>
      <c r="N264" s="424"/>
      <c r="O264" s="424"/>
      <c r="P264" s="155" t="s">
        <v>1959</v>
      </c>
    </row>
    <row r="265" spans="1:16" s="436" customFormat="1">
      <c r="A265" s="774" t="s">
        <v>504</v>
      </c>
      <c r="B265" s="437" t="s">
        <v>508</v>
      </c>
      <c r="C265" s="34" t="s">
        <v>139</v>
      </c>
      <c r="D265" s="121" t="s">
        <v>99</v>
      </c>
      <c r="E265" s="632" t="s">
        <v>150</v>
      </c>
      <c r="F265" s="11">
        <v>1</v>
      </c>
      <c r="G265" s="11" t="s">
        <v>429</v>
      </c>
      <c r="H265" s="13">
        <v>1</v>
      </c>
      <c r="I265" s="13">
        <v>2</v>
      </c>
      <c r="J265" s="13">
        <v>2</v>
      </c>
      <c r="K265" s="13">
        <v>1</v>
      </c>
      <c r="L265" s="13">
        <v>1</v>
      </c>
      <c r="M265" s="13">
        <v>1</v>
      </c>
      <c r="N265" s="425">
        <f t="shared" si="29"/>
        <v>0.16933510251023262</v>
      </c>
      <c r="O265" s="425">
        <f t="shared" si="30"/>
        <v>0.19908580854301616</v>
      </c>
      <c r="P265" s="42" t="s">
        <v>1951</v>
      </c>
    </row>
    <row r="266" spans="1:16" s="436" customFormat="1" ht="15" thickBot="1">
      <c r="A266" s="775" t="s">
        <v>504</v>
      </c>
      <c r="B266" s="773" t="s">
        <v>509</v>
      </c>
      <c r="C266" s="34" t="s">
        <v>139</v>
      </c>
      <c r="D266" s="123" t="s">
        <v>99</v>
      </c>
      <c r="E266" s="753">
        <f>0.016*0.091</f>
        <v>1.456E-3</v>
      </c>
      <c r="F266" s="12">
        <v>2</v>
      </c>
      <c r="G266" s="12" t="s">
        <v>429</v>
      </c>
      <c r="H266" s="14">
        <v>1</v>
      </c>
      <c r="I266" s="14">
        <v>2</v>
      </c>
      <c r="J266" s="14">
        <v>2</v>
      </c>
      <c r="K266" s="14">
        <v>1</v>
      </c>
      <c r="L266" s="14">
        <v>1</v>
      </c>
      <c r="M266" s="14">
        <v>1</v>
      </c>
      <c r="N266" s="428">
        <f t="shared" si="29"/>
        <v>0.16933510251023262</v>
      </c>
      <c r="O266" s="428">
        <f t="shared" si="30"/>
        <v>0.19908580854301616</v>
      </c>
      <c r="P266" s="44" t="s">
        <v>875</v>
      </c>
    </row>
    <row r="267" spans="1:16" s="436" customFormat="1">
      <c r="A267" s="634" t="s">
        <v>508</v>
      </c>
      <c r="B267" s="783" t="s">
        <v>510</v>
      </c>
      <c r="C267" s="34" t="s">
        <v>139</v>
      </c>
      <c r="D267" s="121" t="s">
        <v>99</v>
      </c>
      <c r="E267" s="632">
        <f>0.1*E259</f>
        <v>3.0000000000000001E-3</v>
      </c>
      <c r="F267" s="11">
        <v>2</v>
      </c>
      <c r="G267" s="11" t="s">
        <v>429</v>
      </c>
      <c r="H267" s="13">
        <v>1</v>
      </c>
      <c r="I267" s="13">
        <v>2</v>
      </c>
      <c r="J267" s="13">
        <v>2</v>
      </c>
      <c r="K267" s="13">
        <v>1</v>
      </c>
      <c r="L267" s="13">
        <v>1</v>
      </c>
      <c r="M267" s="13">
        <v>1</v>
      </c>
      <c r="N267" s="425">
        <f t="shared" si="29"/>
        <v>0.16933510251023262</v>
      </c>
      <c r="O267" s="425">
        <f t="shared" si="30"/>
        <v>0.19908580854301616</v>
      </c>
      <c r="P267" s="42" t="s">
        <v>852</v>
      </c>
    </row>
    <row r="268" spans="1:16" s="436" customFormat="1" ht="15" thickBot="1">
      <c r="A268" s="635" t="s">
        <v>508</v>
      </c>
      <c r="B268" s="784" t="s">
        <v>505</v>
      </c>
      <c r="C268" s="34" t="s">
        <v>139</v>
      </c>
      <c r="D268" s="123" t="s">
        <v>99</v>
      </c>
      <c r="E268" s="753" t="s">
        <v>150</v>
      </c>
      <c r="F268" s="12">
        <v>1</v>
      </c>
      <c r="G268" s="12" t="s">
        <v>429</v>
      </c>
      <c r="H268" s="14"/>
      <c r="I268" s="14"/>
      <c r="J268" s="14"/>
      <c r="K268" s="14"/>
      <c r="L268" s="14"/>
      <c r="M268" s="14"/>
      <c r="N268" s="428" t="str">
        <f t="shared" si="29"/>
        <v/>
      </c>
      <c r="O268" s="428" t="str">
        <f t="shared" si="30"/>
        <v/>
      </c>
      <c r="P268" s="44" t="s">
        <v>1952</v>
      </c>
    </row>
    <row r="269" spans="1:16" s="436" customFormat="1" ht="15" thickBot="1">
      <c r="A269" s="758" t="s">
        <v>510</v>
      </c>
      <c r="B269" s="777" t="s">
        <v>228</v>
      </c>
      <c r="C269" s="34" t="s">
        <v>139</v>
      </c>
      <c r="D269" s="787" t="s">
        <v>99</v>
      </c>
      <c r="E269" s="755">
        <v>1</v>
      </c>
      <c r="F269" s="754">
        <v>2</v>
      </c>
      <c r="G269" s="754" t="s">
        <v>429</v>
      </c>
      <c r="H269" s="71">
        <v>1</v>
      </c>
      <c r="I269" s="71">
        <v>2</v>
      </c>
      <c r="J269" s="71">
        <v>2</v>
      </c>
      <c r="K269" s="71">
        <v>1</v>
      </c>
      <c r="L269" s="71">
        <v>1</v>
      </c>
      <c r="M269" s="71">
        <v>1</v>
      </c>
      <c r="N269" s="759">
        <f t="shared" si="29"/>
        <v>0.16933510251023262</v>
      </c>
      <c r="O269" s="759">
        <f t="shared" si="30"/>
        <v>0.19908580854301616</v>
      </c>
      <c r="P269" s="754" t="s">
        <v>853</v>
      </c>
    </row>
    <row r="270" spans="1:16" s="436" customFormat="1" ht="15" thickBot="1">
      <c r="A270" s="633" t="s">
        <v>509</v>
      </c>
      <c r="B270" s="785" t="s">
        <v>232</v>
      </c>
      <c r="C270" s="34" t="s">
        <v>139</v>
      </c>
      <c r="D270" s="781" t="s">
        <v>99</v>
      </c>
      <c r="E270" s="751">
        <v>1</v>
      </c>
      <c r="F270" s="750">
        <v>1</v>
      </c>
      <c r="G270" s="750" t="s">
        <v>429</v>
      </c>
      <c r="H270" s="70">
        <v>1</v>
      </c>
      <c r="I270" s="70">
        <v>2</v>
      </c>
      <c r="J270" s="70">
        <v>2</v>
      </c>
      <c r="K270" s="70">
        <v>1</v>
      </c>
      <c r="L270" s="70">
        <v>1</v>
      </c>
      <c r="M270" s="70">
        <v>1</v>
      </c>
      <c r="N270" s="439">
        <f t="shared" si="29"/>
        <v>0.16933510251023262</v>
      </c>
      <c r="O270" s="439">
        <f t="shared" si="30"/>
        <v>0.19908580854301616</v>
      </c>
      <c r="P270" s="752" t="s">
        <v>853</v>
      </c>
    </row>
    <row r="271" spans="1:16" s="436" customFormat="1">
      <c r="A271" s="637" t="s">
        <v>507</v>
      </c>
      <c r="B271" s="783" t="s">
        <v>231</v>
      </c>
      <c r="C271" s="34" t="s">
        <v>139</v>
      </c>
      <c r="D271" s="614" t="s">
        <v>99</v>
      </c>
      <c r="E271" s="744">
        <v>0</v>
      </c>
      <c r="F271" s="118">
        <v>2</v>
      </c>
      <c r="G271" s="118" t="s">
        <v>429</v>
      </c>
      <c r="H271" s="66">
        <v>1</v>
      </c>
      <c r="I271" s="66">
        <v>2</v>
      </c>
      <c r="J271" s="66">
        <v>2</v>
      </c>
      <c r="K271" s="66">
        <v>1</v>
      </c>
      <c r="L271" s="15">
        <v>1</v>
      </c>
      <c r="M271" s="13">
        <v>1</v>
      </c>
      <c r="N271" s="438">
        <f t="shared" si="29"/>
        <v>0.16933510251023262</v>
      </c>
      <c r="O271" s="438">
        <f t="shared" si="30"/>
        <v>0.19908580854301616</v>
      </c>
      <c r="P271" s="42" t="s">
        <v>1961</v>
      </c>
    </row>
    <row r="272" spans="1:16" s="436" customFormat="1">
      <c r="A272" s="313" t="s">
        <v>507</v>
      </c>
      <c r="B272" s="780" t="s">
        <v>232</v>
      </c>
      <c r="C272" s="34" t="s">
        <v>139</v>
      </c>
      <c r="D272" s="122" t="s">
        <v>99</v>
      </c>
      <c r="E272" s="242">
        <v>0</v>
      </c>
      <c r="F272" s="9">
        <v>2</v>
      </c>
      <c r="G272" s="9" t="s">
        <v>429</v>
      </c>
      <c r="H272" s="10">
        <v>1</v>
      </c>
      <c r="I272" s="10">
        <v>2</v>
      </c>
      <c r="J272" s="10">
        <v>2</v>
      </c>
      <c r="K272" s="10">
        <v>1</v>
      </c>
      <c r="L272" s="10">
        <v>1</v>
      </c>
      <c r="M272" s="10">
        <v>1</v>
      </c>
      <c r="N272" s="405">
        <f t="shared" si="29"/>
        <v>0.16933510251023262</v>
      </c>
      <c r="O272" s="405">
        <f t="shared" si="30"/>
        <v>0.19908580854301616</v>
      </c>
      <c r="P272" s="43" t="s">
        <v>1961</v>
      </c>
    </row>
    <row r="273" spans="1:16" s="436" customFormat="1">
      <c r="A273" s="313" t="s">
        <v>507</v>
      </c>
      <c r="B273" s="780" t="s">
        <v>251</v>
      </c>
      <c r="C273" s="34" t="s">
        <v>139</v>
      </c>
      <c r="D273" s="122" t="s">
        <v>99</v>
      </c>
      <c r="E273" s="242">
        <v>0</v>
      </c>
      <c r="F273" s="9">
        <v>2</v>
      </c>
      <c r="G273" s="9" t="s">
        <v>429</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1961</v>
      </c>
    </row>
    <row r="274" spans="1:16" s="436" customFormat="1">
      <c r="A274" s="313" t="s">
        <v>507</v>
      </c>
      <c r="B274" s="775" t="s">
        <v>258</v>
      </c>
      <c r="C274" s="34" t="s">
        <v>139</v>
      </c>
      <c r="D274" s="124" t="s">
        <v>99</v>
      </c>
      <c r="E274" s="749">
        <v>0</v>
      </c>
      <c r="F274" s="119">
        <v>2</v>
      </c>
      <c r="G274" s="119" t="s">
        <v>429</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1961</v>
      </c>
    </row>
    <row r="275" spans="1:16" s="436" customFormat="1" ht="15" thickBot="1">
      <c r="A275" s="638" t="s">
        <v>507</v>
      </c>
      <c r="B275" s="784" t="s">
        <v>333</v>
      </c>
      <c r="C275" s="34" t="s">
        <v>139</v>
      </c>
      <c r="D275" s="124" t="s">
        <v>99</v>
      </c>
      <c r="E275" s="749" t="s">
        <v>150</v>
      </c>
      <c r="F275" s="119">
        <v>1</v>
      </c>
      <c r="G275" s="119" t="s">
        <v>429</v>
      </c>
      <c r="H275" s="15"/>
      <c r="I275" s="15"/>
      <c r="J275" s="15"/>
      <c r="K275" s="15"/>
      <c r="L275" s="15"/>
      <c r="M275" s="15"/>
      <c r="N275" s="424" t="str">
        <f t="shared" si="31"/>
        <v/>
      </c>
      <c r="O275" s="424" t="str">
        <f t="shared" si="32"/>
        <v/>
      </c>
      <c r="P275" s="44"/>
    </row>
    <row r="276" spans="1:16" s="436" customFormat="1">
      <c r="A276" s="634" t="s">
        <v>505</v>
      </c>
      <c r="B276" s="783" t="s">
        <v>228</v>
      </c>
      <c r="C276" s="34" t="s">
        <v>139</v>
      </c>
      <c r="D276" s="121" t="s">
        <v>99</v>
      </c>
      <c r="E276" s="632">
        <v>0</v>
      </c>
      <c r="F276" s="11">
        <v>2</v>
      </c>
      <c r="G276" s="11" t="s">
        <v>429</v>
      </c>
      <c r="H276" s="13">
        <v>1</v>
      </c>
      <c r="I276" s="13">
        <v>2</v>
      </c>
      <c r="J276" s="13">
        <v>2</v>
      </c>
      <c r="K276" s="13">
        <v>1</v>
      </c>
      <c r="L276" s="13">
        <v>1</v>
      </c>
      <c r="M276" s="13">
        <v>1</v>
      </c>
      <c r="N276" s="425">
        <f t="shared" si="31"/>
        <v>0.16933510251023262</v>
      </c>
      <c r="O276" s="425">
        <f t="shared" si="32"/>
        <v>0.19908580854301616</v>
      </c>
      <c r="P276" s="42" t="s">
        <v>854</v>
      </c>
    </row>
    <row r="277" spans="1:16" s="436" customFormat="1" ht="15" thickBot="1">
      <c r="A277" s="635" t="s">
        <v>505</v>
      </c>
      <c r="B277" s="784" t="s">
        <v>333</v>
      </c>
      <c r="C277" s="34" t="s">
        <v>139</v>
      </c>
      <c r="D277" s="123" t="s">
        <v>99</v>
      </c>
      <c r="E277" s="753" t="s">
        <v>150</v>
      </c>
      <c r="F277" s="12">
        <v>1</v>
      </c>
      <c r="G277" s="12" t="s">
        <v>429</v>
      </c>
      <c r="H277" s="14"/>
      <c r="I277" s="14"/>
      <c r="J277" s="14"/>
      <c r="K277" s="14"/>
      <c r="L277" s="14"/>
      <c r="M277" s="14"/>
      <c r="N277" s="428" t="str">
        <f t="shared" si="31"/>
        <v/>
      </c>
      <c r="O277" s="428" t="str">
        <f t="shared" si="32"/>
        <v/>
      </c>
      <c r="P277" s="44" t="s">
        <v>1953</v>
      </c>
    </row>
    <row r="278" spans="1:16" s="436" customFormat="1">
      <c r="A278" s="637" t="s">
        <v>439</v>
      </c>
      <c r="B278" s="774" t="s">
        <v>511</v>
      </c>
      <c r="C278" s="34" t="s">
        <v>139</v>
      </c>
      <c r="D278" s="614" t="s">
        <v>99</v>
      </c>
      <c r="E278" s="744">
        <v>0</v>
      </c>
      <c r="F278" s="118">
        <v>2</v>
      </c>
      <c r="G278" s="118" t="s">
        <v>429</v>
      </c>
      <c r="H278" s="66">
        <v>1</v>
      </c>
      <c r="I278" s="66">
        <v>2</v>
      </c>
      <c r="J278" s="66">
        <v>2</v>
      </c>
      <c r="K278" s="66">
        <v>1</v>
      </c>
      <c r="L278" s="66">
        <v>1</v>
      </c>
      <c r="M278" s="66">
        <v>1</v>
      </c>
      <c r="N278" s="438">
        <f t="shared" si="31"/>
        <v>0.16933510251023262</v>
      </c>
      <c r="O278" s="438">
        <f t="shared" si="32"/>
        <v>0.19908580854301616</v>
      </c>
      <c r="P278" s="118" t="s">
        <v>873</v>
      </c>
    </row>
    <row r="279" spans="1:16" s="436" customFormat="1">
      <c r="A279" s="313" t="s">
        <v>439</v>
      </c>
      <c r="B279" s="780" t="s">
        <v>512</v>
      </c>
      <c r="C279" s="34" t="s">
        <v>139</v>
      </c>
      <c r="D279" s="122" t="s">
        <v>99</v>
      </c>
      <c r="E279" s="242">
        <v>0.85</v>
      </c>
      <c r="F279" s="9">
        <v>2</v>
      </c>
      <c r="G279" s="9" t="s">
        <v>429</v>
      </c>
      <c r="H279" s="10">
        <v>1</v>
      </c>
      <c r="I279" s="10">
        <v>2</v>
      </c>
      <c r="J279" s="10">
        <v>2</v>
      </c>
      <c r="K279" s="10">
        <v>1</v>
      </c>
      <c r="L279" s="10">
        <v>1</v>
      </c>
      <c r="M279" s="10">
        <v>1</v>
      </c>
      <c r="N279" s="405">
        <f t="shared" si="31"/>
        <v>0.16933510251023262</v>
      </c>
      <c r="O279" s="405">
        <f t="shared" si="32"/>
        <v>0.19908580854301616</v>
      </c>
      <c r="P279" s="9" t="s">
        <v>874</v>
      </c>
    </row>
    <row r="280" spans="1:16" s="436" customFormat="1" ht="15" thickBot="1">
      <c r="A280" s="638" t="s">
        <v>439</v>
      </c>
      <c r="B280" s="775" t="s">
        <v>223</v>
      </c>
      <c r="C280" s="34" t="s">
        <v>139</v>
      </c>
      <c r="D280" s="124" t="s">
        <v>99</v>
      </c>
      <c r="E280" s="749">
        <v>0.15</v>
      </c>
      <c r="F280" s="119">
        <v>1</v>
      </c>
      <c r="G280" s="119" t="s">
        <v>429</v>
      </c>
      <c r="H280" s="15">
        <v>1</v>
      </c>
      <c r="I280" s="15">
        <v>2</v>
      </c>
      <c r="J280" s="15">
        <v>2</v>
      </c>
      <c r="K280" s="15">
        <v>1</v>
      </c>
      <c r="L280" s="15">
        <v>1</v>
      </c>
      <c r="M280" s="15">
        <v>1</v>
      </c>
      <c r="N280" s="424">
        <f t="shared" si="31"/>
        <v>0.16933510251023262</v>
      </c>
      <c r="O280" s="424">
        <f t="shared" si="32"/>
        <v>0.19908580854301616</v>
      </c>
      <c r="P280" s="119" t="s">
        <v>868</v>
      </c>
    </row>
    <row r="281" spans="1:16" s="436" customFormat="1">
      <c r="A281" s="634" t="s">
        <v>511</v>
      </c>
      <c r="B281" s="783" t="s">
        <v>513</v>
      </c>
      <c r="C281" s="34" t="s">
        <v>139</v>
      </c>
      <c r="D281" s="121" t="s">
        <v>99</v>
      </c>
      <c r="E281" s="632">
        <v>0.03</v>
      </c>
      <c r="F281" s="11">
        <v>2</v>
      </c>
      <c r="G281" s="11" t="s">
        <v>429</v>
      </c>
      <c r="H281" s="13">
        <v>1</v>
      </c>
      <c r="I281" s="13">
        <v>2</v>
      </c>
      <c r="J281" s="13">
        <v>2</v>
      </c>
      <c r="K281" s="13">
        <v>1</v>
      </c>
      <c r="L281" s="13">
        <v>1</v>
      </c>
      <c r="M281" s="13">
        <v>1</v>
      </c>
      <c r="N281" s="425">
        <f t="shared" si="31"/>
        <v>0.16933510251023262</v>
      </c>
      <c r="O281" s="425">
        <f t="shared" si="32"/>
        <v>0.19908580854301616</v>
      </c>
      <c r="P281" s="42" t="s">
        <v>851</v>
      </c>
    </row>
    <row r="282" spans="1:16" s="436" customFormat="1" ht="15" thickBot="1">
      <c r="A282" s="635" t="s">
        <v>511</v>
      </c>
      <c r="B282" s="784" t="s">
        <v>514</v>
      </c>
      <c r="C282" s="34" t="s">
        <v>139</v>
      </c>
      <c r="D282" s="123" t="s">
        <v>99</v>
      </c>
      <c r="E282" s="753" t="s">
        <v>150</v>
      </c>
      <c r="F282" s="12">
        <v>1</v>
      </c>
      <c r="G282" s="12" t="s">
        <v>429</v>
      </c>
      <c r="H282" s="14"/>
      <c r="I282" s="14"/>
      <c r="J282" s="14"/>
      <c r="K282" s="14"/>
      <c r="L282" s="14"/>
      <c r="M282" s="14"/>
      <c r="N282" s="428" t="str">
        <f t="shared" si="31"/>
        <v/>
      </c>
      <c r="O282" s="428" t="str">
        <f t="shared" si="32"/>
        <v/>
      </c>
      <c r="P282" s="44" t="s">
        <v>1946</v>
      </c>
    </row>
    <row r="283" spans="1:16" s="436" customFormat="1">
      <c r="A283" s="637" t="s">
        <v>513</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1933</v>
      </c>
    </row>
    <row r="284" spans="1:16" s="436" customFormat="1">
      <c r="A284" s="313" t="s">
        <v>513</v>
      </c>
      <c r="B284" s="780" t="s">
        <v>232</v>
      </c>
      <c r="C284" s="34" t="s">
        <v>139</v>
      </c>
      <c r="D284" s="122" t="s">
        <v>99</v>
      </c>
      <c r="E284" s="242">
        <v>0.39400000000000002</v>
      </c>
      <c r="F284" s="9">
        <v>2</v>
      </c>
      <c r="G284" s="9" t="s">
        <v>429</v>
      </c>
      <c r="H284" s="10">
        <v>1</v>
      </c>
      <c r="I284" s="10">
        <v>2</v>
      </c>
      <c r="J284" s="10">
        <v>2</v>
      </c>
      <c r="K284" s="10">
        <v>1</v>
      </c>
      <c r="L284" s="10">
        <v>1</v>
      </c>
      <c r="M284" s="10">
        <v>1</v>
      </c>
      <c r="N284" s="405">
        <f t="shared" si="31"/>
        <v>0.16933510251023262</v>
      </c>
      <c r="O284" s="405">
        <f t="shared" si="32"/>
        <v>0.19908580854301616</v>
      </c>
      <c r="P284" s="9" t="s">
        <v>1957</v>
      </c>
    </row>
    <row r="285" spans="1:16" s="436" customFormat="1">
      <c r="A285" s="638" t="s">
        <v>513</v>
      </c>
      <c r="B285" s="775" t="s">
        <v>251</v>
      </c>
      <c r="C285" s="34" t="s">
        <v>139</v>
      </c>
      <c r="D285" s="124" t="s">
        <v>99</v>
      </c>
      <c r="E285" s="242">
        <v>0.52200000000000002</v>
      </c>
      <c r="F285" s="7">
        <v>1</v>
      </c>
      <c r="G285" s="9" t="s">
        <v>429</v>
      </c>
      <c r="H285" s="15">
        <v>1</v>
      </c>
      <c r="I285" s="15">
        <v>2</v>
      </c>
      <c r="J285" s="15">
        <v>2</v>
      </c>
      <c r="K285" s="15">
        <v>1</v>
      </c>
      <c r="L285" s="15">
        <v>1</v>
      </c>
      <c r="M285" s="15">
        <v>1</v>
      </c>
      <c r="N285" s="424">
        <f t="shared" si="31"/>
        <v>0.16933510251023262</v>
      </c>
      <c r="O285" s="424">
        <f t="shared" si="32"/>
        <v>0.19908580854301616</v>
      </c>
      <c r="P285" s="9" t="s">
        <v>1958</v>
      </c>
    </row>
    <row r="286" spans="1:16" s="436" customFormat="1" ht="15" thickBot="1">
      <c r="A286" s="638" t="s">
        <v>513</v>
      </c>
      <c r="B286" s="775" t="s">
        <v>258</v>
      </c>
      <c r="C286" s="34" t="s">
        <v>139</v>
      </c>
      <c r="D286" s="124" t="s">
        <v>99</v>
      </c>
      <c r="E286" s="749">
        <v>3.4000000000000002E-2</v>
      </c>
      <c r="F286" s="119">
        <v>2</v>
      </c>
      <c r="G286" s="9" t="s">
        <v>429</v>
      </c>
      <c r="H286" s="15"/>
      <c r="I286" s="15"/>
      <c r="J286" s="15"/>
      <c r="K286" s="15"/>
      <c r="L286" s="15"/>
      <c r="M286" s="15"/>
      <c r="N286" s="424"/>
      <c r="O286" s="424"/>
      <c r="P286" s="119" t="s">
        <v>1959</v>
      </c>
    </row>
    <row r="287" spans="1:16" s="436" customFormat="1">
      <c r="A287" s="634" t="s">
        <v>512</v>
      </c>
      <c r="B287" s="783" t="s">
        <v>515</v>
      </c>
      <c r="C287" s="34" t="s">
        <v>139</v>
      </c>
      <c r="D287" s="121" t="s">
        <v>99</v>
      </c>
      <c r="E287" s="632">
        <f>0.1*E281</f>
        <v>3.0000000000000001E-3</v>
      </c>
      <c r="F287" s="11">
        <v>2</v>
      </c>
      <c r="G287" s="11" t="s">
        <v>429</v>
      </c>
      <c r="H287" s="13">
        <v>1</v>
      </c>
      <c r="I287" s="13">
        <v>2</v>
      </c>
      <c r="J287" s="13">
        <v>2</v>
      </c>
      <c r="K287" s="13">
        <v>1</v>
      </c>
      <c r="L287" s="13">
        <v>1</v>
      </c>
      <c r="M287" s="13">
        <v>1</v>
      </c>
      <c r="N287" s="425">
        <f t="shared" si="31"/>
        <v>0.16933510251023262</v>
      </c>
      <c r="O287" s="425">
        <f t="shared" si="32"/>
        <v>0.19908580854301616</v>
      </c>
      <c r="P287" s="42" t="s">
        <v>852</v>
      </c>
    </row>
    <row r="288" spans="1:16" s="436" customFormat="1" ht="15" thickBot="1">
      <c r="A288" s="635" t="s">
        <v>512</v>
      </c>
      <c r="B288" s="784" t="s">
        <v>516</v>
      </c>
      <c r="C288" s="34" t="s">
        <v>139</v>
      </c>
      <c r="D288" s="123" t="s">
        <v>99</v>
      </c>
      <c r="E288" s="753" t="s">
        <v>150</v>
      </c>
      <c r="F288" s="12">
        <v>1</v>
      </c>
      <c r="G288" s="12" t="s">
        <v>429</v>
      </c>
      <c r="H288" s="14"/>
      <c r="I288" s="14"/>
      <c r="J288" s="14"/>
      <c r="K288" s="14"/>
      <c r="L288" s="14"/>
      <c r="M288" s="14"/>
      <c r="N288" s="428" t="str">
        <f t="shared" si="31"/>
        <v/>
      </c>
      <c r="O288" s="428" t="str">
        <f t="shared" si="32"/>
        <v/>
      </c>
      <c r="P288" s="44" t="s">
        <v>1946</v>
      </c>
    </row>
    <row r="289" spans="1:16" s="436" customFormat="1" ht="15" thickBot="1">
      <c r="A289" s="758" t="s">
        <v>515</v>
      </c>
      <c r="B289" s="777" t="s">
        <v>228</v>
      </c>
      <c r="C289" s="34" t="s">
        <v>139</v>
      </c>
      <c r="D289" s="787" t="s">
        <v>99</v>
      </c>
      <c r="E289" s="755">
        <v>1</v>
      </c>
      <c r="F289" s="754">
        <v>2</v>
      </c>
      <c r="G289" s="754" t="s">
        <v>429</v>
      </c>
      <c r="H289" s="71">
        <v>1</v>
      </c>
      <c r="I289" s="71">
        <v>2</v>
      </c>
      <c r="J289" s="71">
        <v>2</v>
      </c>
      <c r="K289" s="71">
        <v>1</v>
      </c>
      <c r="L289" s="71">
        <v>1</v>
      </c>
      <c r="M289" s="71">
        <v>1</v>
      </c>
      <c r="N289" s="759">
        <f t="shared" si="31"/>
        <v>0.16933510251023262</v>
      </c>
      <c r="O289" s="759">
        <f t="shared" si="32"/>
        <v>0.19908580854301616</v>
      </c>
      <c r="P289" s="754" t="s">
        <v>853</v>
      </c>
    </row>
    <row r="290" spans="1:16" s="436" customFormat="1">
      <c r="A290" s="634" t="s">
        <v>514</v>
      </c>
      <c r="B290" s="783" t="s">
        <v>231</v>
      </c>
      <c r="C290" s="34" t="s">
        <v>139</v>
      </c>
      <c r="D290" s="121" t="s">
        <v>99</v>
      </c>
      <c r="E290" s="632">
        <v>0</v>
      </c>
      <c r="F290" s="11">
        <v>2</v>
      </c>
      <c r="G290" s="11" t="s">
        <v>429</v>
      </c>
      <c r="H290" s="13">
        <v>1</v>
      </c>
      <c r="I290" s="13">
        <v>2</v>
      </c>
      <c r="J290" s="13">
        <v>2</v>
      </c>
      <c r="K290" s="13">
        <v>1</v>
      </c>
      <c r="L290" s="772">
        <v>1</v>
      </c>
      <c r="M290" s="13">
        <v>1</v>
      </c>
      <c r="N290" s="425">
        <f t="shared" si="31"/>
        <v>0.16933510251023262</v>
      </c>
      <c r="O290" s="425">
        <f t="shared" si="32"/>
        <v>0.19908580854301616</v>
      </c>
      <c r="P290" s="42" t="s">
        <v>1960</v>
      </c>
    </row>
    <row r="291" spans="1:16" s="436" customFormat="1">
      <c r="A291" s="636" t="s">
        <v>514</v>
      </c>
      <c r="B291" s="780" t="s">
        <v>232</v>
      </c>
      <c r="C291" s="34" t="s">
        <v>139</v>
      </c>
      <c r="D291" s="122" t="s">
        <v>99</v>
      </c>
      <c r="E291" s="242">
        <v>0</v>
      </c>
      <c r="F291" s="9">
        <v>2</v>
      </c>
      <c r="G291" s="9" t="s">
        <v>429</v>
      </c>
      <c r="H291" s="10">
        <v>1</v>
      </c>
      <c r="I291" s="10">
        <v>2</v>
      </c>
      <c r="J291" s="10">
        <v>2</v>
      </c>
      <c r="K291" s="10">
        <v>1</v>
      </c>
      <c r="L291" s="10">
        <v>1</v>
      </c>
      <c r="M291" s="10">
        <v>1</v>
      </c>
      <c r="N291" s="405">
        <f t="shared" si="31"/>
        <v>0.16933510251023262</v>
      </c>
      <c r="O291" s="405">
        <f t="shared" si="32"/>
        <v>0.19908580854301616</v>
      </c>
      <c r="P291" s="43" t="s">
        <v>1960</v>
      </c>
    </row>
    <row r="292" spans="1:16" s="436" customFormat="1">
      <c r="A292" s="636" t="s">
        <v>514</v>
      </c>
      <c r="B292" s="780" t="s">
        <v>251</v>
      </c>
      <c r="C292" s="34" t="s">
        <v>139</v>
      </c>
      <c r="D292" s="122" t="s">
        <v>99</v>
      </c>
      <c r="E292" s="242">
        <v>0</v>
      </c>
      <c r="F292" s="9">
        <v>2</v>
      </c>
      <c r="G292" s="9" t="s">
        <v>429</v>
      </c>
      <c r="H292" s="10">
        <v>1</v>
      </c>
      <c r="I292" s="10">
        <v>2</v>
      </c>
      <c r="J292" s="10">
        <v>2</v>
      </c>
      <c r="K292" s="10">
        <v>1</v>
      </c>
      <c r="L292" s="10">
        <v>1</v>
      </c>
      <c r="M292" s="10">
        <v>1</v>
      </c>
      <c r="N292" s="405">
        <f t="shared" si="31"/>
        <v>0.16933510251023262</v>
      </c>
      <c r="O292" s="405">
        <f t="shared" si="32"/>
        <v>0.19908580854301616</v>
      </c>
      <c r="P292" s="43" t="s">
        <v>1960</v>
      </c>
    </row>
    <row r="293" spans="1:16" s="436" customFormat="1">
      <c r="A293" s="636" t="s">
        <v>514</v>
      </c>
      <c r="B293" s="775" t="s">
        <v>258</v>
      </c>
      <c r="C293" s="34" t="s">
        <v>139</v>
      </c>
      <c r="D293" s="124" t="s">
        <v>99</v>
      </c>
      <c r="E293" s="749">
        <v>0</v>
      </c>
      <c r="F293" s="119">
        <v>2</v>
      </c>
      <c r="G293" s="119" t="s">
        <v>429</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1960</v>
      </c>
    </row>
    <row r="294" spans="1:16" s="436" customFormat="1" ht="15" thickBot="1">
      <c r="A294" s="635" t="s">
        <v>514</v>
      </c>
      <c r="B294" s="784" t="s">
        <v>333</v>
      </c>
      <c r="C294" s="34" t="s">
        <v>139</v>
      </c>
      <c r="D294" s="123" t="s">
        <v>99</v>
      </c>
      <c r="E294" s="753" t="s">
        <v>150</v>
      </c>
      <c r="F294" s="12">
        <v>1</v>
      </c>
      <c r="G294" s="12" t="s">
        <v>429</v>
      </c>
      <c r="H294" s="14"/>
      <c r="I294" s="14"/>
      <c r="J294" s="14"/>
      <c r="K294" s="14"/>
      <c r="L294" s="14"/>
      <c r="M294" s="14"/>
      <c r="N294" s="428" t="str">
        <f t="shared" si="31"/>
        <v/>
      </c>
      <c r="O294" s="428" t="str">
        <f t="shared" si="32"/>
        <v/>
      </c>
      <c r="P294" s="44"/>
    </row>
    <row r="295" spans="1:16" s="436" customFormat="1">
      <c r="A295" s="637" t="s">
        <v>516</v>
      </c>
      <c r="B295" s="774" t="s">
        <v>228</v>
      </c>
      <c r="C295" s="34" t="s">
        <v>139</v>
      </c>
      <c r="D295" s="614" t="s">
        <v>99</v>
      </c>
      <c r="E295" s="744">
        <v>0</v>
      </c>
      <c r="F295" s="118">
        <v>2</v>
      </c>
      <c r="G295" s="118" t="s">
        <v>429</v>
      </c>
      <c r="H295" s="66">
        <v>1</v>
      </c>
      <c r="I295" s="66">
        <v>2</v>
      </c>
      <c r="J295" s="66">
        <v>2</v>
      </c>
      <c r="K295" s="66">
        <v>1</v>
      </c>
      <c r="L295" s="66">
        <v>1</v>
      </c>
      <c r="M295" s="66">
        <v>1</v>
      </c>
      <c r="N295" s="438">
        <f t="shared" si="31"/>
        <v>0.16933510251023262</v>
      </c>
      <c r="O295" s="438">
        <f t="shared" si="32"/>
        <v>0.19908580854301616</v>
      </c>
      <c r="P295" s="118" t="s">
        <v>854</v>
      </c>
    </row>
    <row r="296" spans="1:16" s="436" customFormat="1" ht="15" thickBot="1">
      <c r="A296" s="638" t="s">
        <v>516</v>
      </c>
      <c r="B296" s="775" t="s">
        <v>333</v>
      </c>
      <c r="C296" s="34" t="s">
        <v>139</v>
      </c>
      <c r="D296" s="124" t="s">
        <v>99</v>
      </c>
      <c r="E296" s="749" t="s">
        <v>150</v>
      </c>
      <c r="F296" s="119">
        <v>1</v>
      </c>
      <c r="G296" s="119" t="s">
        <v>429</v>
      </c>
      <c r="H296" s="15"/>
      <c r="I296" s="15"/>
      <c r="J296" s="15"/>
      <c r="K296" s="15"/>
      <c r="L296" s="15"/>
      <c r="M296" s="15"/>
      <c r="N296" s="424" t="str">
        <f t="shared" si="31"/>
        <v/>
      </c>
      <c r="O296" s="424" t="str">
        <f t="shared" si="32"/>
        <v/>
      </c>
      <c r="P296" s="119" t="s">
        <v>1954</v>
      </c>
    </row>
    <row r="297" spans="1:16" s="436" customFormat="1">
      <c r="A297" s="634" t="s">
        <v>440</v>
      </c>
      <c r="B297" s="783" t="s">
        <v>517</v>
      </c>
      <c r="C297" s="34" t="s">
        <v>139</v>
      </c>
      <c r="D297" s="121" t="s">
        <v>99</v>
      </c>
      <c r="E297" s="632">
        <v>0</v>
      </c>
      <c r="F297" s="11">
        <v>2</v>
      </c>
      <c r="G297" s="11" t="s">
        <v>429</v>
      </c>
      <c r="H297" s="13">
        <v>1</v>
      </c>
      <c r="I297" s="13">
        <v>2</v>
      </c>
      <c r="J297" s="13">
        <v>2</v>
      </c>
      <c r="K297" s="13">
        <v>1</v>
      </c>
      <c r="L297" s="13">
        <v>1</v>
      </c>
      <c r="M297" s="13">
        <v>1</v>
      </c>
      <c r="N297" s="425">
        <f t="shared" si="31"/>
        <v>0.16933510251023262</v>
      </c>
      <c r="O297" s="425">
        <f t="shared" si="32"/>
        <v>0.19908580854301616</v>
      </c>
      <c r="P297" s="42" t="s">
        <v>873</v>
      </c>
    </row>
    <row r="298" spans="1:16" s="436" customFormat="1">
      <c r="A298" s="636" t="s">
        <v>440</v>
      </c>
      <c r="B298" s="780" t="s">
        <v>518</v>
      </c>
      <c r="C298" s="34" t="s">
        <v>139</v>
      </c>
      <c r="D298" s="122" t="s">
        <v>99</v>
      </c>
      <c r="E298" s="242">
        <v>0.85</v>
      </c>
      <c r="F298" s="9">
        <v>2</v>
      </c>
      <c r="G298" s="9" t="s">
        <v>429</v>
      </c>
      <c r="H298" s="10">
        <v>1</v>
      </c>
      <c r="I298" s="10">
        <v>2</v>
      </c>
      <c r="J298" s="10">
        <v>2</v>
      </c>
      <c r="K298" s="10">
        <v>1</v>
      </c>
      <c r="L298" s="10">
        <v>1</v>
      </c>
      <c r="M298" s="10">
        <v>1</v>
      </c>
      <c r="N298" s="405">
        <f t="shared" si="31"/>
        <v>0.16933510251023262</v>
      </c>
      <c r="O298" s="405">
        <f t="shared" si="32"/>
        <v>0.19908580854301616</v>
      </c>
      <c r="P298" s="43" t="s">
        <v>874</v>
      </c>
    </row>
    <row r="299" spans="1:16" s="436" customFormat="1" ht="15" thickBot="1">
      <c r="A299" s="635" t="s">
        <v>440</v>
      </c>
      <c r="B299" s="784" t="s">
        <v>223</v>
      </c>
      <c r="C299" s="34" t="s">
        <v>139</v>
      </c>
      <c r="D299" s="123" t="s">
        <v>99</v>
      </c>
      <c r="E299" s="753">
        <v>0.15</v>
      </c>
      <c r="F299" s="12">
        <v>1</v>
      </c>
      <c r="G299" s="12" t="s">
        <v>429</v>
      </c>
      <c r="H299" s="14">
        <v>1</v>
      </c>
      <c r="I299" s="14">
        <v>2</v>
      </c>
      <c r="J299" s="14">
        <v>2</v>
      </c>
      <c r="K299" s="14">
        <v>1</v>
      </c>
      <c r="L299" s="14">
        <v>1</v>
      </c>
      <c r="M299" s="14">
        <v>1</v>
      </c>
      <c r="N299" s="428">
        <f t="shared" si="31"/>
        <v>0.16933510251023262</v>
      </c>
      <c r="O299" s="428">
        <f t="shared" si="32"/>
        <v>0.19908580854301616</v>
      </c>
      <c r="P299" s="44" t="s">
        <v>868</v>
      </c>
    </row>
    <row r="300" spans="1:16" s="436" customFormat="1">
      <c r="A300" s="637" t="s">
        <v>517</v>
      </c>
      <c r="B300" s="774" t="s">
        <v>519</v>
      </c>
      <c r="C300" s="34" t="s">
        <v>139</v>
      </c>
      <c r="D300" s="614" t="s">
        <v>99</v>
      </c>
      <c r="E300" s="744">
        <v>0.03</v>
      </c>
      <c r="F300" s="118">
        <v>2</v>
      </c>
      <c r="G300" s="118" t="s">
        <v>429</v>
      </c>
      <c r="H300" s="66">
        <v>1</v>
      </c>
      <c r="I300" s="66">
        <v>2</v>
      </c>
      <c r="J300" s="66">
        <v>2</v>
      </c>
      <c r="K300" s="66">
        <v>1</v>
      </c>
      <c r="L300" s="66">
        <v>1</v>
      </c>
      <c r="M300" s="66">
        <v>1</v>
      </c>
      <c r="N300" s="438">
        <f t="shared" si="31"/>
        <v>0.16933510251023262</v>
      </c>
      <c r="O300" s="438">
        <f t="shared" si="32"/>
        <v>0.19908580854301616</v>
      </c>
      <c r="P300" s="118" t="s">
        <v>851</v>
      </c>
    </row>
    <row r="301" spans="1:16" s="436" customFormat="1" ht="15" thickBot="1">
      <c r="A301" s="638" t="s">
        <v>517</v>
      </c>
      <c r="B301" s="775" t="s">
        <v>468</v>
      </c>
      <c r="C301" s="34" t="s">
        <v>139</v>
      </c>
      <c r="D301" s="124" t="s">
        <v>99</v>
      </c>
      <c r="E301" s="749" t="s">
        <v>150</v>
      </c>
      <c r="F301" s="119">
        <v>1</v>
      </c>
      <c r="G301" s="119" t="s">
        <v>429</v>
      </c>
      <c r="H301" s="15"/>
      <c r="I301" s="15"/>
      <c r="J301" s="15"/>
      <c r="K301" s="15"/>
      <c r="L301" s="15"/>
      <c r="M301" s="15"/>
      <c r="N301" s="424" t="str">
        <f t="shared" si="31"/>
        <v/>
      </c>
      <c r="O301" s="424" t="str">
        <f t="shared" si="32"/>
        <v/>
      </c>
      <c r="P301" s="119" t="s">
        <v>1955</v>
      </c>
    </row>
    <row r="302" spans="1:16" s="436" customFormat="1">
      <c r="A302" s="634" t="s">
        <v>519</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1933</v>
      </c>
    </row>
    <row r="303" spans="1:16" s="436" customFormat="1">
      <c r="A303" s="636" t="s">
        <v>519</v>
      </c>
      <c r="B303" s="780" t="s">
        <v>232</v>
      </c>
      <c r="C303" s="34" t="s">
        <v>139</v>
      </c>
      <c r="D303" s="122" t="s">
        <v>99</v>
      </c>
      <c r="E303" s="242">
        <v>0.39400000000000002</v>
      </c>
      <c r="F303" s="9">
        <v>2</v>
      </c>
      <c r="G303" s="9" t="s">
        <v>429</v>
      </c>
      <c r="H303" s="10">
        <v>1</v>
      </c>
      <c r="I303" s="10">
        <v>2</v>
      </c>
      <c r="J303" s="10">
        <v>2</v>
      </c>
      <c r="K303" s="10">
        <v>1</v>
      </c>
      <c r="L303" s="10">
        <v>1</v>
      </c>
      <c r="M303" s="10">
        <v>1</v>
      </c>
      <c r="N303" s="405">
        <f t="shared" si="31"/>
        <v>0.16933510251023262</v>
      </c>
      <c r="O303" s="405">
        <f t="shared" si="32"/>
        <v>0.19908580854301616</v>
      </c>
      <c r="P303" s="43" t="s">
        <v>1957</v>
      </c>
    </row>
    <row r="304" spans="1:16" s="436" customFormat="1">
      <c r="A304" s="636" t="s">
        <v>519</v>
      </c>
      <c r="B304" s="780" t="s">
        <v>251</v>
      </c>
      <c r="C304" s="34" t="s">
        <v>139</v>
      </c>
      <c r="D304" s="122" t="s">
        <v>99</v>
      </c>
      <c r="E304" s="242">
        <v>0.52200000000000002</v>
      </c>
      <c r="F304" s="9">
        <v>1</v>
      </c>
      <c r="G304" s="9" t="s">
        <v>429</v>
      </c>
      <c r="H304" s="10">
        <v>1</v>
      </c>
      <c r="I304" s="10">
        <v>2</v>
      </c>
      <c r="J304" s="10">
        <v>2</v>
      </c>
      <c r="K304" s="10">
        <v>1</v>
      </c>
      <c r="L304" s="10">
        <v>1</v>
      </c>
      <c r="M304" s="10">
        <v>1</v>
      </c>
      <c r="N304" s="405">
        <f t="shared" si="31"/>
        <v>0.16933510251023262</v>
      </c>
      <c r="O304" s="405">
        <f t="shared" si="32"/>
        <v>0.19908580854301616</v>
      </c>
      <c r="P304" s="43" t="s">
        <v>1958</v>
      </c>
    </row>
    <row r="305" spans="1:19" s="436" customFormat="1" ht="15" thickBot="1">
      <c r="A305" s="635" t="s">
        <v>519</v>
      </c>
      <c r="B305" s="784" t="s">
        <v>258</v>
      </c>
      <c r="C305" s="34" t="s">
        <v>139</v>
      </c>
      <c r="D305" s="123" t="s">
        <v>99</v>
      </c>
      <c r="E305" s="753">
        <v>3.4000000000000002E-2</v>
      </c>
      <c r="F305" s="12">
        <v>2</v>
      </c>
      <c r="G305" s="12" t="s">
        <v>429</v>
      </c>
      <c r="H305" s="14"/>
      <c r="I305" s="14"/>
      <c r="J305" s="14"/>
      <c r="K305" s="14"/>
      <c r="L305" s="14"/>
      <c r="M305" s="14"/>
      <c r="N305" s="428"/>
      <c r="O305" s="428"/>
      <c r="P305" s="44" t="s">
        <v>1959</v>
      </c>
    </row>
    <row r="306" spans="1:19" s="436" customFormat="1">
      <c r="A306" s="637" t="s">
        <v>518</v>
      </c>
      <c r="B306" s="774" t="s">
        <v>520</v>
      </c>
      <c r="C306" s="34" t="s">
        <v>139</v>
      </c>
      <c r="D306" s="614" t="s">
        <v>99</v>
      </c>
      <c r="E306" s="744">
        <f>0.1*E300</f>
        <v>3.0000000000000001E-3</v>
      </c>
      <c r="F306" s="118">
        <v>2</v>
      </c>
      <c r="G306" s="118" t="s">
        <v>429</v>
      </c>
      <c r="H306" s="66">
        <v>1</v>
      </c>
      <c r="I306" s="66">
        <v>2</v>
      </c>
      <c r="J306" s="66">
        <v>2</v>
      </c>
      <c r="K306" s="66">
        <v>1</v>
      </c>
      <c r="L306" s="66">
        <v>1</v>
      </c>
      <c r="M306" s="66">
        <v>1</v>
      </c>
      <c r="N306" s="438">
        <f t="shared" si="31"/>
        <v>0.16933510251023262</v>
      </c>
      <c r="O306" s="438">
        <f t="shared" si="32"/>
        <v>0.19908580854301616</v>
      </c>
      <c r="P306" s="118" t="s">
        <v>852</v>
      </c>
    </row>
    <row r="307" spans="1:19" s="436" customFormat="1" ht="15" thickBot="1">
      <c r="A307" s="638" t="s">
        <v>518</v>
      </c>
      <c r="B307" s="775" t="s">
        <v>461</v>
      </c>
      <c r="C307" s="34" t="s">
        <v>139</v>
      </c>
      <c r="D307" s="124" t="s">
        <v>99</v>
      </c>
      <c r="E307" s="749" t="s">
        <v>150</v>
      </c>
      <c r="F307" s="119">
        <v>1</v>
      </c>
      <c r="G307" s="119" t="s">
        <v>429</v>
      </c>
      <c r="H307" s="15"/>
      <c r="I307" s="15"/>
      <c r="J307" s="15"/>
      <c r="K307" s="15"/>
      <c r="L307" s="15"/>
      <c r="M307" s="15"/>
      <c r="N307" s="424" t="str">
        <f t="shared" si="31"/>
        <v/>
      </c>
      <c r="O307" s="424" t="str">
        <f t="shared" si="32"/>
        <v/>
      </c>
      <c r="P307" s="119" t="s">
        <v>1955</v>
      </c>
    </row>
    <row r="308" spans="1:19" s="436" customFormat="1" ht="15" thickBot="1">
      <c r="A308" s="633" t="s">
        <v>520</v>
      </c>
      <c r="B308" s="785" t="s">
        <v>228</v>
      </c>
      <c r="C308" s="34" t="s">
        <v>139</v>
      </c>
      <c r="D308" s="781" t="s">
        <v>99</v>
      </c>
      <c r="E308" s="751">
        <v>1</v>
      </c>
      <c r="F308" s="750">
        <v>2</v>
      </c>
      <c r="G308" s="750" t="s">
        <v>429</v>
      </c>
      <c r="H308" s="70">
        <v>1</v>
      </c>
      <c r="I308" s="70">
        <v>2</v>
      </c>
      <c r="J308" s="70">
        <v>2</v>
      </c>
      <c r="K308" s="70">
        <v>1</v>
      </c>
      <c r="L308" s="70">
        <v>1</v>
      </c>
      <c r="M308" s="70">
        <v>1</v>
      </c>
      <c r="N308" s="439">
        <f t="shared" si="31"/>
        <v>0.16933510251023262</v>
      </c>
      <c r="O308" s="439">
        <f t="shared" si="32"/>
        <v>0.19908580854301616</v>
      </c>
      <c r="P308" s="752" t="s">
        <v>853</v>
      </c>
    </row>
    <row r="309" spans="1:19" s="436" customFormat="1">
      <c r="A309" s="637" t="s">
        <v>468</v>
      </c>
      <c r="B309" s="783" t="s">
        <v>231</v>
      </c>
      <c r="C309" s="34" t="s">
        <v>139</v>
      </c>
      <c r="D309" s="614" t="s">
        <v>99</v>
      </c>
      <c r="E309" s="744">
        <v>3.2000000000000002E-3</v>
      </c>
      <c r="F309" s="118">
        <v>2</v>
      </c>
      <c r="G309" s="118" t="s">
        <v>1993</v>
      </c>
      <c r="H309" s="66">
        <v>1</v>
      </c>
      <c r="I309" s="66">
        <v>2</v>
      </c>
      <c r="J309" s="66">
        <v>2</v>
      </c>
      <c r="K309" s="66">
        <v>1</v>
      </c>
      <c r="L309" s="15">
        <v>3</v>
      </c>
      <c r="M309" s="13">
        <v>3</v>
      </c>
      <c r="N309" s="438">
        <f t="shared" si="31"/>
        <v>1.0725046436742278</v>
      </c>
      <c r="O309" s="438">
        <f t="shared" si="32"/>
        <v>1.0776024280428556</v>
      </c>
      <c r="P309" s="118" t="s">
        <v>1985</v>
      </c>
    </row>
    <row r="310" spans="1:19" s="436" customFormat="1">
      <c r="A310" s="313" t="s">
        <v>468</v>
      </c>
      <c r="B310" s="780" t="s">
        <v>232</v>
      </c>
      <c r="C310" s="34" t="s">
        <v>139</v>
      </c>
      <c r="D310" s="122" t="s">
        <v>99</v>
      </c>
      <c r="E310" s="242">
        <v>2.5215999999999999E-2</v>
      </c>
      <c r="F310" s="9">
        <v>2</v>
      </c>
      <c r="G310" s="9" t="s">
        <v>429</v>
      </c>
      <c r="H310" s="10">
        <v>1</v>
      </c>
      <c r="I310" s="10">
        <v>2</v>
      </c>
      <c r="J310" s="10">
        <v>2</v>
      </c>
      <c r="K310" s="10">
        <v>1</v>
      </c>
      <c r="L310" s="10">
        <v>1</v>
      </c>
      <c r="M310" s="10">
        <v>1</v>
      </c>
      <c r="N310" s="405">
        <f t="shared" si="31"/>
        <v>0.16933510251023262</v>
      </c>
      <c r="O310" s="405">
        <f t="shared" si="32"/>
        <v>0.19908580854301616</v>
      </c>
      <c r="P310" s="9" t="s">
        <v>1986</v>
      </c>
    </row>
    <row r="311" spans="1:19" s="436" customFormat="1">
      <c r="A311" s="313" t="s">
        <v>468</v>
      </c>
      <c r="B311" s="780" t="s">
        <v>251</v>
      </c>
      <c r="C311" s="34" t="s">
        <v>139</v>
      </c>
      <c r="D311" s="122" t="s">
        <v>99</v>
      </c>
      <c r="E311" s="242">
        <v>3.3408E-2</v>
      </c>
      <c r="F311" s="9">
        <v>2</v>
      </c>
      <c r="G311" s="9" t="s">
        <v>429</v>
      </c>
      <c r="H311" s="10">
        <v>1</v>
      </c>
      <c r="I311" s="10">
        <v>2</v>
      </c>
      <c r="J311" s="10">
        <v>2</v>
      </c>
      <c r="K311" s="10">
        <v>1</v>
      </c>
      <c r="L311" s="10">
        <v>1</v>
      </c>
      <c r="M311" s="10">
        <v>1</v>
      </c>
      <c r="N311" s="405">
        <f t="shared" si="31"/>
        <v>0.16933510251023262</v>
      </c>
      <c r="O311" s="405">
        <f t="shared" si="32"/>
        <v>0.19908580854301616</v>
      </c>
      <c r="P311" s="9" t="s">
        <v>1987</v>
      </c>
    </row>
    <row r="312" spans="1:19" s="436" customFormat="1">
      <c r="A312" s="313" t="s">
        <v>468</v>
      </c>
      <c r="B312" s="775" t="s">
        <v>258</v>
      </c>
      <c r="C312" s="34" t="s">
        <v>139</v>
      </c>
      <c r="D312" s="124" t="s">
        <v>99</v>
      </c>
      <c r="E312" s="749">
        <v>2.176E-3</v>
      </c>
      <c r="F312" s="119">
        <v>2</v>
      </c>
      <c r="G312" s="119" t="s">
        <v>429</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1988</v>
      </c>
    </row>
    <row r="313" spans="1:19" s="436" customFormat="1" ht="15" thickBot="1">
      <c r="A313" s="638" t="s">
        <v>468</v>
      </c>
      <c r="B313" s="784" t="s">
        <v>333</v>
      </c>
      <c r="C313" s="34" t="s">
        <v>139</v>
      </c>
      <c r="D313" s="124" t="s">
        <v>99</v>
      </c>
      <c r="E313" s="749" t="s">
        <v>150</v>
      </c>
      <c r="F313" s="119">
        <v>1</v>
      </c>
      <c r="G313" s="119" t="s">
        <v>429</v>
      </c>
      <c r="H313" s="15"/>
      <c r="I313" s="15"/>
      <c r="J313" s="15"/>
      <c r="K313" s="15"/>
      <c r="L313" s="15"/>
      <c r="M313" s="15"/>
      <c r="N313" s="424" t="str">
        <f t="shared" si="31"/>
        <v/>
      </c>
      <c r="O313" s="424" t="str">
        <f t="shared" si="32"/>
        <v/>
      </c>
      <c r="P313" s="119"/>
    </row>
    <row r="314" spans="1:19" s="436" customFormat="1">
      <c r="A314" s="634" t="s">
        <v>461</v>
      </c>
      <c r="B314" s="783" t="s">
        <v>228</v>
      </c>
      <c r="C314" s="34" t="s">
        <v>139</v>
      </c>
      <c r="D314" s="121" t="s">
        <v>99</v>
      </c>
      <c r="E314" s="632">
        <v>6.4000000000000001E-2</v>
      </c>
      <c r="F314" s="11">
        <v>2</v>
      </c>
      <c r="G314" s="11" t="s">
        <v>429</v>
      </c>
      <c r="H314" s="13">
        <v>1</v>
      </c>
      <c r="I314" s="13">
        <v>2</v>
      </c>
      <c r="J314" s="13">
        <v>2</v>
      </c>
      <c r="K314" s="13">
        <v>1</v>
      </c>
      <c r="L314" s="13">
        <v>1</v>
      </c>
      <c r="M314" s="13">
        <v>1</v>
      </c>
      <c r="N314" s="425">
        <f t="shared" si="31"/>
        <v>0.16933510251023262</v>
      </c>
      <c r="O314" s="425">
        <f t="shared" si="32"/>
        <v>0.19908580854301616</v>
      </c>
      <c r="P314" s="42" t="s">
        <v>869</v>
      </c>
    </row>
    <row r="315" spans="1:19" s="436" customFormat="1" ht="15" thickBot="1">
      <c r="A315" s="635" t="s">
        <v>461</v>
      </c>
      <c r="B315" s="784" t="s">
        <v>333</v>
      </c>
      <c r="C315" s="35" t="s">
        <v>139</v>
      </c>
      <c r="D315" s="123" t="s">
        <v>99</v>
      </c>
      <c r="E315" s="753" t="s">
        <v>150</v>
      </c>
      <c r="F315" s="12">
        <v>1</v>
      </c>
      <c r="G315" s="12" t="s">
        <v>429</v>
      </c>
      <c r="H315" s="14"/>
      <c r="I315" s="14"/>
      <c r="J315" s="14"/>
      <c r="K315" s="14"/>
      <c r="L315" s="14"/>
      <c r="M315" s="14"/>
      <c r="N315" s="428" t="str">
        <f t="shared" si="31"/>
        <v/>
      </c>
      <c r="O315" s="428" t="str">
        <f t="shared" si="32"/>
        <v/>
      </c>
      <c r="P315" s="44" t="s">
        <v>1956</v>
      </c>
    </row>
    <row r="317" spans="1:19" s="6" customFormat="1" ht="18">
      <c r="A317" s="1100" t="s">
        <v>876</v>
      </c>
      <c r="B317" s="1100"/>
      <c r="C317" s="1100"/>
      <c r="D317" s="1100"/>
      <c r="E317" s="1100"/>
      <c r="F317" s="1100"/>
      <c r="G317" s="1100"/>
      <c r="H317" s="1100"/>
      <c r="I317" s="1100"/>
      <c r="J317" s="1100"/>
      <c r="K317" s="1100"/>
      <c r="L317" s="1100"/>
      <c r="M317" s="1100"/>
      <c r="N317" s="1100"/>
      <c r="O317" s="1100"/>
      <c r="P317" s="1100"/>
      <c r="Q317" s="1100"/>
      <c r="R317" s="1100"/>
      <c r="S317" s="1100"/>
    </row>
    <row r="319" spans="1:19">
      <c r="A319" t="s">
        <v>877</v>
      </c>
    </row>
    <row r="323" spans="1:1">
      <c r="A323" s="640"/>
    </row>
  </sheetData>
  <autoFilter ref="A60:P315" xr:uid="{E8338EDF-3B93-4267-BDF4-561D15195B80}"/>
  <mergeCells count="54">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 ref="D14:E14"/>
    <mergeCell ref="D35:E35"/>
    <mergeCell ref="D20:E20"/>
    <mergeCell ref="D21:E27"/>
    <mergeCell ref="D28:E32"/>
    <mergeCell ref="D33:E34"/>
    <mergeCell ref="D15:E15"/>
    <mergeCell ref="D17:E17"/>
    <mergeCell ref="D16:E16"/>
    <mergeCell ref="D18:E18"/>
    <mergeCell ref="D19:E19"/>
    <mergeCell ref="D36:E36"/>
    <mergeCell ref="D37:E37"/>
    <mergeCell ref="D38:E38"/>
    <mergeCell ref="D39:E39"/>
    <mergeCell ref="D40:E40"/>
    <mergeCell ref="D43:E43"/>
    <mergeCell ref="D44:E44"/>
    <mergeCell ref="A59:S59"/>
    <mergeCell ref="D45:E45"/>
    <mergeCell ref="D41:E41"/>
    <mergeCell ref="D42:E42"/>
    <mergeCell ref="L52:N52"/>
    <mergeCell ref="L53:N53"/>
    <mergeCell ref="A317:S317"/>
    <mergeCell ref="D46:E46"/>
    <mergeCell ref="D47:E47"/>
    <mergeCell ref="D48:E48"/>
    <mergeCell ref="D49:E49"/>
    <mergeCell ref="L56:N56"/>
    <mergeCell ref="L57:N57"/>
    <mergeCell ref="A55:G55"/>
    <mergeCell ref="A51:G51"/>
    <mergeCell ref="E3:G3"/>
    <mergeCell ref="H3:O3"/>
    <mergeCell ref="H8:O8"/>
    <mergeCell ref="H9:O9"/>
    <mergeCell ref="H10:O10"/>
  </mergeCells>
  <phoneticPr fontId="22" type="noConversion"/>
  <conditionalFormatting sqref="D52">
    <cfRule type="cellIs" dxfId="84" priority="62" operator="greaterThan">
      <formula>0</formula>
    </cfRule>
    <cfRule type="cellIs" dxfId="83" priority="63" operator="equal">
      <formula>0</formula>
    </cfRule>
  </conditionalFormatting>
  <conditionalFormatting sqref="D56">
    <cfRule type="cellIs" dxfId="82" priority="57" operator="greaterThan">
      <formula>0</formula>
    </cfRule>
    <cfRule type="cellIs" dxfId="81"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80"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79" priority="3" stopIfTrue="1" operator="notBetween">
      <formula>1</formula>
      <formula>4</formula>
    </cfRule>
  </conditionalFormatting>
  <conditionalFormatting sqref="H75:M315">
    <cfRule type="containsBlanks" dxfId="78"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77"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76"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4.4"/>
  <cols>
    <col min="1" max="1" width="40.5546875" customWidth="1"/>
    <col min="2" max="2" width="29.88671875" customWidth="1"/>
    <col min="3" max="3" width="19.33203125" customWidth="1"/>
    <col min="4" max="4" width="26" customWidth="1"/>
    <col min="5" max="5" width="32" bestFit="1" customWidth="1"/>
    <col min="6" max="6" width="11.6640625" customWidth="1"/>
    <col min="7" max="7" width="14.33203125" customWidth="1"/>
    <col min="8" max="8" width="12.33203125" customWidth="1"/>
    <col min="9" max="9" width="14.44140625" customWidth="1"/>
    <col min="10" max="10" width="14.33203125" customWidth="1"/>
    <col min="11" max="11" width="13" customWidth="1"/>
    <col min="12" max="12" width="13.6640625" customWidth="1"/>
    <col min="13" max="13" width="16.5546875" customWidth="1"/>
    <col min="14" max="14" width="14.6640625" customWidth="1"/>
    <col min="15" max="15" width="15.44140625" customWidth="1"/>
    <col min="16" max="16" width="30.88671875" customWidth="1"/>
    <col min="17" max="17" width="18.5546875" bestFit="1" customWidth="1"/>
    <col min="18" max="18" width="25.109375" bestFit="1" customWidth="1"/>
    <col min="19" max="19" width="16.33203125" bestFit="1" customWidth="1"/>
    <col min="20" max="20" width="13.109375" bestFit="1" customWidth="1"/>
    <col min="21" max="21" width="13.88671875" bestFit="1" customWidth="1"/>
    <col min="22" max="22" width="16.88671875" customWidth="1"/>
    <col min="23" max="23" width="23.5546875" customWidth="1"/>
    <col min="24" max="24" width="11.5546875" bestFit="1" customWidth="1"/>
    <col min="25" max="25" width="12" bestFit="1" customWidth="1"/>
    <col min="27" max="27" width="13.109375" bestFit="1" customWidth="1"/>
    <col min="29" max="29" width="12.88671875" customWidth="1"/>
    <col min="30" max="30" width="11.109375" customWidth="1"/>
    <col min="31" max="31" width="12" customWidth="1"/>
    <col min="32" max="32" width="12.109375" customWidth="1"/>
    <col min="33" max="33" width="11.5546875" customWidth="1"/>
    <col min="34" max="34" width="12.5546875" customWidth="1"/>
    <col min="35" max="38" width="14.88671875" bestFit="1" customWidth="1"/>
    <col min="40" max="40" width="16.5546875" bestFit="1" customWidth="1"/>
    <col min="41" max="42" width="14.33203125" bestFit="1" customWidth="1"/>
    <col min="43" max="43" width="18.33203125" customWidth="1"/>
    <col min="44" max="44" width="24.44140625" customWidth="1"/>
  </cols>
  <sheetData>
    <row r="2" spans="1:19" s="131" customFormat="1" ht="30" customHeight="1">
      <c r="A2" s="469" t="s">
        <v>841</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890</v>
      </c>
      <c r="F3" s="361" t="s">
        <v>104</v>
      </c>
      <c r="G3" s="225"/>
      <c r="H3" s="225"/>
      <c r="I3" s="225"/>
      <c r="J3" s="225"/>
      <c r="K3" s="225"/>
      <c r="L3" s="225"/>
      <c r="O3"/>
      <c r="P3"/>
      <c r="Q3"/>
      <c r="R3"/>
      <c r="S3"/>
    </row>
    <row r="4" spans="1:19" s="6" customFormat="1">
      <c r="A4" s="411" t="s">
        <v>950</v>
      </c>
      <c r="B4" s="411" t="s">
        <v>182</v>
      </c>
      <c r="C4" s="220">
        <v>2018</v>
      </c>
      <c r="D4" s="117" t="s">
        <v>951</v>
      </c>
      <c r="E4" s="490">
        <f>((D200)/1000)-B232</f>
        <v>692.81</v>
      </c>
      <c r="F4" t="s">
        <v>952</v>
      </c>
      <c r="G4"/>
      <c r="H4"/>
      <c r="I4"/>
      <c r="O4"/>
      <c r="P4"/>
      <c r="Q4"/>
      <c r="R4"/>
      <c r="S4"/>
    </row>
    <row r="5" spans="1:19" s="6" customFormat="1">
      <c r="A5" s="412" t="s">
        <v>950</v>
      </c>
      <c r="B5" s="412" t="s">
        <v>182</v>
      </c>
      <c r="C5" s="410">
        <v>2019</v>
      </c>
      <c r="D5" s="117" t="s">
        <v>951</v>
      </c>
      <c r="E5" s="413">
        <f>((D203/1000)-B232)</f>
        <v>695.5</v>
      </c>
      <c r="F5" t="s">
        <v>952</v>
      </c>
      <c r="G5"/>
      <c r="H5"/>
      <c r="I5"/>
      <c r="O5"/>
      <c r="P5"/>
      <c r="Q5"/>
      <c r="R5"/>
      <c r="S5"/>
    </row>
    <row r="6" spans="1:19" s="6" customFormat="1">
      <c r="A6"/>
      <c r="B6"/>
      <c r="C6"/>
      <c r="D6"/>
      <c r="E6"/>
      <c r="F6"/>
      <c r="G6"/>
      <c r="H6"/>
      <c r="I6"/>
      <c r="J6"/>
      <c r="K6"/>
      <c r="L6"/>
      <c r="M6"/>
      <c r="O6"/>
      <c r="P6"/>
      <c r="Q6"/>
      <c r="R6"/>
      <c r="S6"/>
    </row>
    <row r="7" spans="1:19" s="6" customFormat="1" ht="15" thickBot="1">
      <c r="A7" s="6" t="s">
        <v>953</v>
      </c>
      <c r="E7"/>
      <c r="O7"/>
      <c r="P7"/>
      <c r="Q7"/>
      <c r="R7"/>
      <c r="S7"/>
    </row>
    <row r="8" spans="1:19" s="6" customFormat="1">
      <c r="A8" s="140" t="s">
        <v>100</v>
      </c>
      <c r="B8" s="140" t="s">
        <v>131</v>
      </c>
      <c r="C8" s="140" t="s">
        <v>101</v>
      </c>
      <c r="D8" s="140" t="s">
        <v>102</v>
      </c>
      <c r="E8" s="140" t="s">
        <v>890</v>
      </c>
      <c r="F8" s="361" t="s">
        <v>104</v>
      </c>
      <c r="G8" s="111" t="s">
        <v>135</v>
      </c>
      <c r="H8" s="112" t="s">
        <v>65</v>
      </c>
      <c r="I8" s="112" t="s">
        <v>67</v>
      </c>
      <c r="J8" s="112" t="s">
        <v>73</v>
      </c>
      <c r="K8" s="113" t="s">
        <v>79</v>
      </c>
      <c r="L8" s="114" t="s">
        <v>106</v>
      </c>
      <c r="M8" s="115" t="s">
        <v>123</v>
      </c>
      <c r="O8"/>
      <c r="P8"/>
      <c r="Q8"/>
      <c r="R8"/>
      <c r="S8"/>
    </row>
    <row r="9" spans="1:19" s="6" customFormat="1">
      <c r="A9" s="143" t="s">
        <v>950</v>
      </c>
      <c r="B9" s="143" t="s">
        <v>182</v>
      </c>
      <c r="C9" s="220">
        <v>2018</v>
      </c>
      <c r="D9" s="9" t="s">
        <v>90</v>
      </c>
      <c r="E9" s="408">
        <f>E4*H165</f>
        <v>56.385014842085823</v>
      </c>
      <c r="F9" t="s">
        <v>954</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950</v>
      </c>
      <c r="B10" s="143" t="s">
        <v>182</v>
      </c>
      <c r="C10" s="220">
        <v>2018</v>
      </c>
      <c r="D10" s="9" t="s">
        <v>88</v>
      </c>
      <c r="E10" s="408">
        <f>E4*H166</f>
        <v>3.9507478925049049</v>
      </c>
      <c r="F10" t="s">
        <v>954</v>
      </c>
      <c r="G10" s="172">
        <v>1</v>
      </c>
      <c r="H10" s="10">
        <v>1</v>
      </c>
      <c r="I10" s="66">
        <v>2</v>
      </c>
      <c r="J10" s="10">
        <v>1</v>
      </c>
      <c r="K10" s="10">
        <v>2</v>
      </c>
      <c r="L10" s="179">
        <f t="shared" si="0"/>
        <v>0.35859414261160716</v>
      </c>
      <c r="M10" s="34"/>
      <c r="O10"/>
      <c r="P10"/>
      <c r="Q10"/>
      <c r="R10"/>
      <c r="S10"/>
    </row>
    <row r="11" spans="1:19" s="6" customFormat="1">
      <c r="A11" s="143" t="s">
        <v>950</v>
      </c>
      <c r="B11" s="143" t="s">
        <v>182</v>
      </c>
      <c r="C11" s="220">
        <v>2018</v>
      </c>
      <c r="D11" s="9" t="s">
        <v>87</v>
      </c>
      <c r="E11" s="408">
        <f>E5*H167</f>
        <v>3.9660876131077227</v>
      </c>
      <c r="F11" t="s">
        <v>954</v>
      </c>
      <c r="G11" s="172">
        <v>1</v>
      </c>
      <c r="H11" s="10">
        <v>1</v>
      </c>
      <c r="I11" s="66">
        <v>2</v>
      </c>
      <c r="J11" s="10">
        <v>1</v>
      </c>
      <c r="K11" s="10">
        <v>2</v>
      </c>
      <c r="L11" s="179">
        <f t="shared" si="0"/>
        <v>0.35859414261160716</v>
      </c>
      <c r="M11" s="34"/>
      <c r="O11"/>
      <c r="P11"/>
      <c r="Q11"/>
      <c r="R11"/>
      <c r="S11"/>
    </row>
    <row r="12" spans="1:19" s="6" customFormat="1">
      <c r="A12" s="143" t="s">
        <v>950</v>
      </c>
      <c r="B12" s="143" t="s">
        <v>182</v>
      </c>
      <c r="C12" s="220">
        <v>2018</v>
      </c>
      <c r="D12" s="9" t="s">
        <v>85</v>
      </c>
      <c r="E12" s="408">
        <f>E4*H168</f>
        <v>622.8710048492452</v>
      </c>
      <c r="F12" t="s">
        <v>954</v>
      </c>
      <c r="G12" s="172">
        <v>1</v>
      </c>
      <c r="H12" s="10">
        <v>1</v>
      </c>
      <c r="I12" s="66">
        <v>2</v>
      </c>
      <c r="J12" s="10">
        <v>1</v>
      </c>
      <c r="K12" s="10">
        <v>2</v>
      </c>
      <c r="L12" s="179">
        <f t="shared" si="0"/>
        <v>0.35859414261160716</v>
      </c>
      <c r="M12" s="34"/>
      <c r="O12"/>
      <c r="P12"/>
      <c r="Q12"/>
      <c r="R12"/>
      <c r="S12"/>
    </row>
    <row r="13" spans="1:19">
      <c r="A13" s="143" t="s">
        <v>950</v>
      </c>
      <c r="B13" s="143" t="s">
        <v>182</v>
      </c>
      <c r="C13" s="220">
        <v>2018</v>
      </c>
      <c r="D13" s="9" t="s">
        <v>86</v>
      </c>
      <c r="E13" s="408">
        <f>E4*H169</f>
        <v>5.6494845366498607</v>
      </c>
      <c r="F13" t="s">
        <v>954</v>
      </c>
      <c r="G13" s="172">
        <v>1</v>
      </c>
      <c r="H13" s="10">
        <v>1</v>
      </c>
      <c r="I13" s="66">
        <v>2</v>
      </c>
      <c r="J13" s="10">
        <v>1</v>
      </c>
      <c r="K13" s="10">
        <v>2</v>
      </c>
      <c r="L13" s="179">
        <f t="shared" si="0"/>
        <v>0.35859414261160716</v>
      </c>
      <c r="M13" s="34"/>
    </row>
    <row r="14" spans="1:19" s="131" customFormat="1" ht="18">
      <c r="A14" s="143" t="s">
        <v>950</v>
      </c>
      <c r="B14" s="143" t="s">
        <v>182</v>
      </c>
      <c r="C14" s="220">
        <v>2019</v>
      </c>
      <c r="D14" s="9" t="s">
        <v>90</v>
      </c>
      <c r="E14" s="408">
        <f>E5*H165</f>
        <v>56.60394310513805</v>
      </c>
      <c r="F14" t="s">
        <v>954</v>
      </c>
      <c r="G14" s="174">
        <v>1</v>
      </c>
      <c r="H14" s="66">
        <v>1</v>
      </c>
      <c r="I14" s="66">
        <v>2</v>
      </c>
      <c r="J14" s="66">
        <v>1</v>
      </c>
      <c r="K14" s="66">
        <v>2</v>
      </c>
      <c r="L14" s="179">
        <f t="shared" si="0"/>
        <v>0.35859414261160716</v>
      </c>
      <c r="M14" s="60"/>
      <c r="O14"/>
      <c r="P14"/>
      <c r="Q14"/>
      <c r="R14"/>
      <c r="S14"/>
    </row>
    <row r="15" spans="1:19" s="6" customFormat="1">
      <c r="A15" s="143" t="s">
        <v>950</v>
      </c>
      <c r="B15" s="143" t="s">
        <v>182</v>
      </c>
      <c r="C15" s="220">
        <v>2019</v>
      </c>
      <c r="D15" s="9" t="s">
        <v>88</v>
      </c>
      <c r="E15" s="408">
        <f>E5*H166</f>
        <v>3.9660876131077227</v>
      </c>
      <c r="F15" t="s">
        <v>954</v>
      </c>
      <c r="G15" s="172">
        <v>1</v>
      </c>
      <c r="H15" s="10">
        <v>1</v>
      </c>
      <c r="I15" s="66">
        <v>2</v>
      </c>
      <c r="J15" s="10">
        <v>1</v>
      </c>
      <c r="K15" s="10">
        <v>2</v>
      </c>
      <c r="L15" s="179">
        <f t="shared" si="0"/>
        <v>0.35859414261160716</v>
      </c>
      <c r="M15" s="34"/>
      <c r="O15"/>
      <c r="P15"/>
      <c r="Q15"/>
      <c r="R15"/>
      <c r="S15"/>
    </row>
    <row r="16" spans="1:19" s="6" customFormat="1">
      <c r="A16" s="143" t="s">
        <v>950</v>
      </c>
      <c r="B16" s="143" t="s">
        <v>182</v>
      </c>
      <c r="C16" s="220">
        <v>2019</v>
      </c>
      <c r="D16" s="9" t="s">
        <v>87</v>
      </c>
      <c r="E16" s="408">
        <f>E5*H167</f>
        <v>3.9660876131077227</v>
      </c>
      <c r="F16" t="s">
        <v>954</v>
      </c>
      <c r="G16" s="172">
        <v>1</v>
      </c>
      <c r="H16" s="10">
        <v>1</v>
      </c>
      <c r="I16" s="66">
        <v>2</v>
      </c>
      <c r="J16" s="10">
        <v>1</v>
      </c>
      <c r="K16" s="10">
        <v>2</v>
      </c>
      <c r="L16" s="179">
        <f t="shared" si="0"/>
        <v>0.35859414261160716</v>
      </c>
      <c r="M16" s="34"/>
      <c r="O16"/>
      <c r="P16"/>
      <c r="Q16"/>
      <c r="R16"/>
      <c r="S16"/>
    </row>
    <row r="17" spans="1:19" s="6" customFormat="1">
      <c r="A17" s="143" t="s">
        <v>950</v>
      </c>
      <c r="B17" s="143" t="s">
        <v>182</v>
      </c>
      <c r="C17" s="220">
        <v>2019</v>
      </c>
      <c r="D17" s="9" t="s">
        <v>85</v>
      </c>
      <c r="E17" s="408">
        <f>E5*H168</f>
        <v>625.28945002619776</v>
      </c>
      <c r="F17" t="s">
        <v>954</v>
      </c>
      <c r="G17" s="172">
        <v>1</v>
      </c>
      <c r="H17" s="10">
        <v>1</v>
      </c>
      <c r="I17" s="66">
        <v>2</v>
      </c>
      <c r="J17" s="10">
        <v>1</v>
      </c>
      <c r="K17" s="10">
        <v>2</v>
      </c>
      <c r="L17" s="179">
        <f t="shared" si="0"/>
        <v>0.35859414261160716</v>
      </c>
      <c r="M17" s="34"/>
      <c r="O17"/>
      <c r="P17"/>
      <c r="Q17"/>
      <c r="R17"/>
      <c r="S17"/>
    </row>
    <row r="18" spans="1:19" s="6" customFormat="1">
      <c r="A18" s="143" t="s">
        <v>950</v>
      </c>
      <c r="B18" s="143" t="s">
        <v>182</v>
      </c>
      <c r="C18" s="220">
        <v>2019</v>
      </c>
      <c r="D18" s="9" t="s">
        <v>86</v>
      </c>
      <c r="E18" s="408">
        <f>E5*H169</f>
        <v>5.6714200072746905</v>
      </c>
      <c r="F18" t="s">
        <v>954</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840</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890</v>
      </c>
      <c r="F21" s="361" t="s">
        <v>104</v>
      </c>
      <c r="G21" s="791" t="s">
        <v>123</v>
      </c>
      <c r="H21" s="791"/>
      <c r="I21" s="791"/>
      <c r="O21"/>
      <c r="P21"/>
      <c r="Q21"/>
      <c r="R21"/>
      <c r="S21"/>
    </row>
    <row r="22" spans="1:19" s="6" customFormat="1">
      <c r="A22" s="143" t="s">
        <v>950</v>
      </c>
      <c r="B22" s="143" t="s">
        <v>180</v>
      </c>
      <c r="C22" s="220">
        <v>2018</v>
      </c>
      <c r="D22" s="117" t="s">
        <v>951</v>
      </c>
      <c r="E22" s="413">
        <f>(((D200)/1000))*$C$222-Intentional_Agr_NL_2020*'Input projections'!$C$42</f>
        <v>22.798165427830579</v>
      </c>
      <c r="F22" s="224" t="s">
        <v>955</v>
      </c>
      <c r="G22" s="60" t="s">
        <v>956</v>
      </c>
      <c r="H22"/>
      <c r="I22"/>
      <c r="O22"/>
      <c r="P22"/>
      <c r="Q22"/>
      <c r="R22"/>
      <c r="S22"/>
    </row>
    <row r="23" spans="1:19" s="6" customFormat="1">
      <c r="A23" s="412" t="s">
        <v>950</v>
      </c>
      <c r="B23" s="143" t="s">
        <v>180</v>
      </c>
      <c r="C23" s="220">
        <v>2018</v>
      </c>
      <c r="D23" s="117" t="s">
        <v>951</v>
      </c>
      <c r="E23" s="413">
        <f>(((D200)/1000))*$C$224-Intentional_Agr_NL_2020*'Input projections'!$C$42</f>
        <v>46.525919248910952</v>
      </c>
      <c r="F23" s="224" t="s">
        <v>955</v>
      </c>
      <c r="G23" s="60" t="s">
        <v>957</v>
      </c>
      <c r="H23"/>
      <c r="I23"/>
      <c r="O23"/>
      <c r="P23"/>
      <c r="Q23"/>
      <c r="R23"/>
      <c r="S23"/>
    </row>
    <row r="24" spans="1:19">
      <c r="A24" s="143" t="s">
        <v>950</v>
      </c>
      <c r="B24" s="143" t="s">
        <v>180</v>
      </c>
      <c r="C24" s="220">
        <v>2019</v>
      </c>
      <c r="D24" s="117" t="s">
        <v>951</v>
      </c>
      <c r="E24" s="413">
        <f>(((D203)/1000))*$C$222-Intentional_Agr_NL_2020*'Input projections'!$C$42</f>
        <v>22.888549427830579</v>
      </c>
      <c r="F24" s="224" t="s">
        <v>955</v>
      </c>
      <c r="G24" s="60" t="s">
        <v>956</v>
      </c>
    </row>
    <row r="25" spans="1:19">
      <c r="A25" s="412" t="s">
        <v>950</v>
      </c>
      <c r="B25" s="143" t="s">
        <v>180</v>
      </c>
      <c r="C25" s="220">
        <v>2019</v>
      </c>
      <c r="D25" s="117" t="s">
        <v>951</v>
      </c>
      <c r="E25" s="413">
        <f>(((D203)/1000))*$C$224-Intentional_Agr_NL_2020*'Input projections'!$C$42</f>
        <v>46.706479507763902</v>
      </c>
      <c r="F25" s="224" t="s">
        <v>955</v>
      </c>
      <c r="G25" s="60" t="s">
        <v>957</v>
      </c>
    </row>
    <row r="26" spans="1:19" s="6" customFormat="1">
      <c r="A26"/>
      <c r="B26"/>
      <c r="C26"/>
      <c r="D26"/>
      <c r="E26"/>
      <c r="F26"/>
      <c r="G26"/>
      <c r="H26"/>
      <c r="I26"/>
      <c r="J26"/>
      <c r="K26"/>
      <c r="L26"/>
      <c r="M26"/>
    </row>
    <row r="27" spans="1:19" s="6" customFormat="1" ht="15" thickBot="1">
      <c r="A27" s="6" t="s">
        <v>953</v>
      </c>
      <c r="E27"/>
    </row>
    <row r="28" spans="1:19" s="2" customFormat="1">
      <c r="A28" s="140" t="s">
        <v>100</v>
      </c>
      <c r="B28" s="140" t="s">
        <v>131</v>
      </c>
      <c r="C28" s="140" t="s">
        <v>101</v>
      </c>
      <c r="D28" s="140" t="s">
        <v>102</v>
      </c>
      <c r="E28" s="140" t="s">
        <v>890</v>
      </c>
      <c r="F28" s="225" t="s">
        <v>104</v>
      </c>
      <c r="G28" s="111" t="s">
        <v>134</v>
      </c>
      <c r="H28" s="112" t="s">
        <v>65</v>
      </c>
      <c r="I28" s="112" t="s">
        <v>67</v>
      </c>
      <c r="J28" s="112" t="s">
        <v>73</v>
      </c>
      <c r="K28" s="113" t="s">
        <v>79</v>
      </c>
      <c r="L28" s="114" t="s">
        <v>106</v>
      </c>
      <c r="M28" s="115" t="s">
        <v>123</v>
      </c>
    </row>
    <row r="29" spans="1:19" s="2" customFormat="1">
      <c r="A29" s="143" t="s">
        <v>950</v>
      </c>
      <c r="B29" s="143" t="s">
        <v>180</v>
      </c>
      <c r="C29" s="220">
        <v>2018</v>
      </c>
      <c r="D29" s="465" t="s">
        <v>90</v>
      </c>
      <c r="E29" s="136">
        <f>$E$22*H183</f>
        <v>2.3385327534831104</v>
      </c>
      <c r="F29" t="s">
        <v>958</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956</v>
      </c>
    </row>
    <row r="30" spans="1:19" s="2" customFormat="1">
      <c r="A30" s="143" t="s">
        <v>950</v>
      </c>
      <c r="B30" s="143" t="s">
        <v>180</v>
      </c>
      <c r="C30" s="220">
        <v>2018</v>
      </c>
      <c r="D30" s="465" t="s">
        <v>88</v>
      </c>
      <c r="E30" s="136">
        <f>$E$22*H184</f>
        <v>0.11106595848154695</v>
      </c>
      <c r="F30" t="s">
        <v>958</v>
      </c>
      <c r="G30" s="172">
        <v>2</v>
      </c>
      <c r="H30" s="10">
        <v>1</v>
      </c>
      <c r="I30" s="66">
        <v>2</v>
      </c>
      <c r="J30" s="10">
        <v>1</v>
      </c>
      <c r="K30" s="10">
        <v>2</v>
      </c>
      <c r="L30" s="179">
        <f t="shared" si="1"/>
        <v>0.37356464144298934</v>
      </c>
      <c r="M30" s="60" t="s">
        <v>956</v>
      </c>
    </row>
    <row r="31" spans="1:19" s="2" customFormat="1">
      <c r="A31" s="143" t="s">
        <v>950</v>
      </c>
      <c r="B31" s="143" t="s">
        <v>180</v>
      </c>
      <c r="C31" s="220">
        <v>2018</v>
      </c>
      <c r="D31" s="465" t="s">
        <v>87</v>
      </c>
      <c r="E31" s="136">
        <f>$E$22*H185</f>
        <v>0.11106595848154695</v>
      </c>
      <c r="F31" t="s">
        <v>958</v>
      </c>
      <c r="G31" s="172">
        <v>2</v>
      </c>
      <c r="H31" s="10">
        <v>1</v>
      </c>
      <c r="I31" s="66">
        <v>2</v>
      </c>
      <c r="J31" s="10">
        <v>1</v>
      </c>
      <c r="K31" s="10">
        <v>2</v>
      </c>
      <c r="L31" s="179">
        <f t="shared" si="1"/>
        <v>0.37356464144298934</v>
      </c>
      <c r="M31" s="60" t="s">
        <v>956</v>
      </c>
    </row>
    <row r="32" spans="1:19" s="2" customFormat="1">
      <c r="A32" s="143" t="s">
        <v>950</v>
      </c>
      <c r="B32" s="143" t="s">
        <v>180</v>
      </c>
      <c r="C32" s="220">
        <v>2018</v>
      </c>
      <c r="D32" s="465" t="s">
        <v>85</v>
      </c>
      <c r="E32" s="136">
        <f>$E$22*H186</f>
        <v>19.95503155784176</v>
      </c>
      <c r="F32" t="s">
        <v>958</v>
      </c>
      <c r="G32" s="172">
        <v>2</v>
      </c>
      <c r="H32" s="10">
        <v>1</v>
      </c>
      <c r="I32" s="66">
        <v>2</v>
      </c>
      <c r="J32" s="10">
        <v>1</v>
      </c>
      <c r="K32" s="10">
        <v>2</v>
      </c>
      <c r="L32" s="179">
        <f t="shared" si="1"/>
        <v>0.37356464144298934</v>
      </c>
      <c r="M32" s="60" t="s">
        <v>956</v>
      </c>
    </row>
    <row r="33" spans="1:13" s="2" customFormat="1">
      <c r="A33" s="143" t="s">
        <v>950</v>
      </c>
      <c r="B33" s="143" t="s">
        <v>180</v>
      </c>
      <c r="C33" s="220">
        <v>2018</v>
      </c>
      <c r="D33" s="465" t="s">
        <v>86</v>
      </c>
      <c r="E33" s="136">
        <f>$E$22*H187</f>
        <v>0.2824691995426149</v>
      </c>
      <c r="F33" t="s">
        <v>958</v>
      </c>
      <c r="G33" s="172">
        <v>2</v>
      </c>
      <c r="H33" s="10">
        <v>1</v>
      </c>
      <c r="I33" s="66">
        <v>2</v>
      </c>
      <c r="J33" s="10">
        <v>1</v>
      </c>
      <c r="K33" s="10">
        <v>2</v>
      </c>
      <c r="L33" s="179">
        <f t="shared" si="1"/>
        <v>0.37356464144298934</v>
      </c>
      <c r="M33" s="60" t="s">
        <v>956</v>
      </c>
    </row>
    <row r="34" spans="1:13" s="2" customFormat="1">
      <c r="A34" s="143" t="s">
        <v>950</v>
      </c>
      <c r="B34" s="143" t="s">
        <v>180</v>
      </c>
      <c r="C34" s="220">
        <v>2018</v>
      </c>
      <c r="D34" s="9" t="s">
        <v>90</v>
      </c>
      <c r="E34" s="136">
        <f>$E$23*H183</f>
        <v>4.7724184822639018</v>
      </c>
      <c r="F34" t="s">
        <v>959</v>
      </c>
      <c r="G34" s="174">
        <v>2</v>
      </c>
      <c r="H34" s="66">
        <v>1</v>
      </c>
      <c r="I34" s="66">
        <v>2</v>
      </c>
      <c r="J34" s="66">
        <v>1</v>
      </c>
      <c r="K34" s="66">
        <v>2</v>
      </c>
      <c r="L34" s="179">
        <f t="shared" si="1"/>
        <v>0.37356464144298934</v>
      </c>
      <c r="M34" s="60" t="s">
        <v>957</v>
      </c>
    </row>
    <row r="35" spans="1:13" s="2" customFormat="1">
      <c r="A35" s="143" t="s">
        <v>950</v>
      </c>
      <c r="B35" s="143" t="s">
        <v>180</v>
      </c>
      <c r="C35" s="220">
        <v>2018</v>
      </c>
      <c r="D35" s="9" t="s">
        <v>88</v>
      </c>
      <c r="E35" s="136">
        <f>$E$23*H184</f>
        <v>0.22666059828249402</v>
      </c>
      <c r="F35" t="s">
        <v>959</v>
      </c>
      <c r="G35" s="172">
        <v>2</v>
      </c>
      <c r="H35" s="10">
        <v>1</v>
      </c>
      <c r="I35" s="66">
        <v>2</v>
      </c>
      <c r="J35" s="10">
        <v>1</v>
      </c>
      <c r="K35" s="10">
        <v>2</v>
      </c>
      <c r="L35" s="179">
        <f t="shared" si="1"/>
        <v>0.37356464144298934</v>
      </c>
      <c r="M35" s="60" t="s">
        <v>957</v>
      </c>
    </row>
    <row r="36" spans="1:13" s="2" customFormat="1">
      <c r="A36" s="143" t="s">
        <v>950</v>
      </c>
      <c r="B36" s="143" t="s">
        <v>180</v>
      </c>
      <c r="C36" s="220">
        <v>2018</v>
      </c>
      <c r="D36" s="9" t="s">
        <v>87</v>
      </c>
      <c r="E36" s="136">
        <f>$E$23*H185</f>
        <v>0.22666059828249402</v>
      </c>
      <c r="F36" t="s">
        <v>959</v>
      </c>
      <c r="G36" s="172">
        <v>2</v>
      </c>
      <c r="H36" s="10">
        <v>1</v>
      </c>
      <c r="I36" s="66">
        <v>2</v>
      </c>
      <c r="J36" s="10">
        <v>1</v>
      </c>
      <c r="K36" s="10">
        <v>2</v>
      </c>
      <c r="L36" s="179">
        <f t="shared" si="1"/>
        <v>0.37356464144298934</v>
      </c>
      <c r="M36" s="60" t="s">
        <v>957</v>
      </c>
    </row>
    <row r="37" spans="1:13" s="2" customFormat="1">
      <c r="A37" s="143" t="s">
        <v>950</v>
      </c>
      <c r="B37" s="143" t="s">
        <v>180</v>
      </c>
      <c r="C37" s="220">
        <v>2018</v>
      </c>
      <c r="D37" s="9" t="s">
        <v>85</v>
      </c>
      <c r="E37" s="136">
        <f>$E$23*H186</f>
        <v>40.723723573663108</v>
      </c>
      <c r="F37" t="s">
        <v>959</v>
      </c>
      <c r="G37" s="172">
        <v>2</v>
      </c>
      <c r="H37" s="10">
        <v>1</v>
      </c>
      <c r="I37" s="66">
        <v>2</v>
      </c>
      <c r="J37" s="10">
        <v>1</v>
      </c>
      <c r="K37" s="10">
        <v>2</v>
      </c>
      <c r="L37" s="179">
        <f t="shared" si="1"/>
        <v>0.37356464144298934</v>
      </c>
      <c r="M37" s="60" t="s">
        <v>957</v>
      </c>
    </row>
    <row r="38" spans="1:13" s="2" customFormat="1">
      <c r="A38" s="143" t="s">
        <v>950</v>
      </c>
      <c r="B38" s="143" t="s">
        <v>180</v>
      </c>
      <c r="C38" s="220">
        <v>2018</v>
      </c>
      <c r="D38" s="9" t="s">
        <v>86</v>
      </c>
      <c r="E38" s="136">
        <f>$E$23*H187</f>
        <v>0.57645599641895362</v>
      </c>
      <c r="F38" t="s">
        <v>959</v>
      </c>
      <c r="G38" s="172">
        <v>2</v>
      </c>
      <c r="H38" s="10">
        <v>1</v>
      </c>
      <c r="I38" s="66">
        <v>2</v>
      </c>
      <c r="J38" s="10">
        <v>1</v>
      </c>
      <c r="K38" s="10">
        <v>2</v>
      </c>
      <c r="L38" s="179">
        <f t="shared" si="1"/>
        <v>0.37356464144298934</v>
      </c>
      <c r="M38" s="60" t="s">
        <v>957</v>
      </c>
    </row>
    <row r="39" spans="1:13" s="2" customFormat="1">
      <c r="A39" s="143" t="s">
        <v>950</v>
      </c>
      <c r="B39" s="143" t="s">
        <v>180</v>
      </c>
      <c r="C39" s="220">
        <v>2019</v>
      </c>
      <c r="D39" s="465" t="s">
        <v>90</v>
      </c>
      <c r="E39" s="136">
        <f>$E$24*H183</f>
        <v>2.3478039356341438</v>
      </c>
      <c r="F39" t="s">
        <v>958</v>
      </c>
      <c r="G39" s="174">
        <v>2</v>
      </c>
      <c r="H39" s="66">
        <v>1</v>
      </c>
      <c r="I39" s="66">
        <v>2</v>
      </c>
      <c r="J39" s="66">
        <v>1</v>
      </c>
      <c r="K39" s="66">
        <v>2</v>
      </c>
      <c r="L39" s="179">
        <f t="shared" si="1"/>
        <v>0.37356464144298934</v>
      </c>
      <c r="M39" s="60" t="s">
        <v>956</v>
      </c>
    </row>
    <row r="40" spans="1:13" s="2" customFormat="1">
      <c r="A40" s="143" t="s">
        <v>950</v>
      </c>
      <c r="B40" s="143" t="s">
        <v>180</v>
      </c>
      <c r="C40" s="220">
        <v>2019</v>
      </c>
      <c r="D40" s="465" t="s">
        <v>88</v>
      </c>
      <c r="E40" s="136">
        <f>$E$24*H184</f>
        <v>0.11150628275339129</v>
      </c>
      <c r="F40" t="s">
        <v>958</v>
      </c>
      <c r="G40" s="172">
        <v>2</v>
      </c>
      <c r="H40" s="10">
        <v>1</v>
      </c>
      <c r="I40" s="66">
        <v>2</v>
      </c>
      <c r="J40" s="10">
        <v>1</v>
      </c>
      <c r="K40" s="10">
        <v>2</v>
      </c>
      <c r="L40" s="179">
        <f t="shared" si="1"/>
        <v>0.37356464144298934</v>
      </c>
      <c r="M40" s="60" t="s">
        <v>956</v>
      </c>
    </row>
    <row r="41" spans="1:13" s="2" customFormat="1">
      <c r="A41" s="143" t="s">
        <v>950</v>
      </c>
      <c r="B41" s="143" t="s">
        <v>180</v>
      </c>
      <c r="C41" s="220">
        <v>2019</v>
      </c>
      <c r="D41" s="465" t="s">
        <v>87</v>
      </c>
      <c r="E41" s="136">
        <f>$E$24*H185</f>
        <v>0.11150628275339129</v>
      </c>
      <c r="F41" t="s">
        <v>958</v>
      </c>
      <c r="G41" s="172">
        <v>2</v>
      </c>
      <c r="H41" s="10">
        <v>1</v>
      </c>
      <c r="I41" s="66">
        <v>2</v>
      </c>
      <c r="J41" s="10">
        <v>1</v>
      </c>
      <c r="K41" s="10">
        <v>2</v>
      </c>
      <c r="L41" s="179">
        <f t="shared" si="1"/>
        <v>0.37356464144298934</v>
      </c>
      <c r="M41" s="60" t="s">
        <v>956</v>
      </c>
    </row>
    <row r="42" spans="1:13" s="2" customFormat="1">
      <c r="A42" s="143" t="s">
        <v>950</v>
      </c>
      <c r="B42" s="143" t="s">
        <v>180</v>
      </c>
      <c r="C42" s="220">
        <v>2019</v>
      </c>
      <c r="D42" s="465" t="s">
        <v>85</v>
      </c>
      <c r="E42" s="136">
        <f>$E$24*H186</f>
        <v>20.034143869664984</v>
      </c>
      <c r="F42" t="s">
        <v>958</v>
      </c>
      <c r="G42" s="172">
        <v>2</v>
      </c>
      <c r="H42" s="10">
        <v>1</v>
      </c>
      <c r="I42" s="66">
        <v>2</v>
      </c>
      <c r="J42" s="10">
        <v>1</v>
      </c>
      <c r="K42" s="10">
        <v>2</v>
      </c>
      <c r="L42" s="179">
        <f t="shared" si="1"/>
        <v>0.37356464144298934</v>
      </c>
      <c r="M42" s="60" t="s">
        <v>956</v>
      </c>
    </row>
    <row r="43" spans="1:13" s="2" customFormat="1">
      <c r="A43" s="143" t="s">
        <v>950</v>
      </c>
      <c r="B43" s="143" t="s">
        <v>180</v>
      </c>
      <c r="C43" s="220">
        <v>2019</v>
      </c>
      <c r="D43" s="465" t="s">
        <v>86</v>
      </c>
      <c r="E43" s="136">
        <f>$E$24*H187</f>
        <v>0.28358905702466886</v>
      </c>
      <c r="F43" t="s">
        <v>958</v>
      </c>
      <c r="G43" s="172">
        <v>2</v>
      </c>
      <c r="H43" s="10">
        <v>1</v>
      </c>
      <c r="I43" s="66">
        <v>2</v>
      </c>
      <c r="J43" s="10">
        <v>1</v>
      </c>
      <c r="K43" s="10">
        <v>2</v>
      </c>
      <c r="L43" s="179">
        <f t="shared" si="1"/>
        <v>0.37356464144298934</v>
      </c>
      <c r="M43" s="60" t="s">
        <v>956</v>
      </c>
    </row>
    <row r="44" spans="1:13" s="2" customFormat="1">
      <c r="A44" s="143" t="s">
        <v>950</v>
      </c>
      <c r="B44" s="143" t="s">
        <v>180</v>
      </c>
      <c r="C44" s="220">
        <v>2019</v>
      </c>
      <c r="D44" s="9" t="s">
        <v>90</v>
      </c>
      <c r="E44" s="136">
        <f>$E$25*H183</f>
        <v>4.7909395374181711</v>
      </c>
      <c r="F44" t="s">
        <v>959</v>
      </c>
      <c r="G44" s="174">
        <v>2</v>
      </c>
      <c r="H44" s="66">
        <v>1</v>
      </c>
      <c r="I44" s="66">
        <v>2</v>
      </c>
      <c r="J44" s="66">
        <v>1</v>
      </c>
      <c r="K44" s="66">
        <v>2</v>
      </c>
      <c r="L44" s="179">
        <f t="shared" si="1"/>
        <v>0.37356464144298934</v>
      </c>
      <c r="M44" s="60" t="s">
        <v>957</v>
      </c>
    </row>
    <row r="45" spans="1:13" s="2" customFormat="1">
      <c r="A45" s="143" t="s">
        <v>950</v>
      </c>
      <c r="B45" s="143" t="s">
        <v>180</v>
      </c>
      <c r="C45" s="220">
        <v>2019</v>
      </c>
      <c r="D45" s="9" t="s">
        <v>88</v>
      </c>
      <c r="E45" s="136">
        <f>$E$25*H184</f>
        <v>0.22754023477239763</v>
      </c>
      <c r="F45" t="s">
        <v>959</v>
      </c>
      <c r="G45" s="172">
        <v>2</v>
      </c>
      <c r="H45" s="10">
        <v>1</v>
      </c>
      <c r="I45" s="66">
        <v>2</v>
      </c>
      <c r="J45" s="10">
        <v>1</v>
      </c>
      <c r="K45" s="10">
        <v>2</v>
      </c>
      <c r="L45" s="179">
        <f t="shared" si="1"/>
        <v>0.37356464144298934</v>
      </c>
      <c r="M45" s="60" t="s">
        <v>957</v>
      </c>
    </row>
    <row r="46" spans="1:13" s="2" customFormat="1">
      <c r="A46" s="143" t="s">
        <v>950</v>
      </c>
      <c r="B46" s="143" t="s">
        <v>180</v>
      </c>
      <c r="C46" s="220">
        <v>2019</v>
      </c>
      <c r="D46" s="9" t="s">
        <v>87</v>
      </c>
      <c r="E46" s="136">
        <f>$E$25*H185</f>
        <v>0.22754023477239763</v>
      </c>
      <c r="F46" t="s">
        <v>959</v>
      </c>
      <c r="G46" s="172">
        <v>2</v>
      </c>
      <c r="H46" s="10">
        <v>1</v>
      </c>
      <c r="I46" s="66">
        <v>2</v>
      </c>
      <c r="J46" s="10">
        <v>1</v>
      </c>
      <c r="K46" s="10">
        <v>2</v>
      </c>
      <c r="L46" s="179">
        <f t="shared" si="1"/>
        <v>0.37356464144298934</v>
      </c>
      <c r="M46" s="60" t="s">
        <v>957</v>
      </c>
    </row>
    <row r="47" spans="1:13" s="2" customFormat="1">
      <c r="A47" s="143" t="s">
        <v>950</v>
      </c>
      <c r="B47" s="143" t="s">
        <v>180</v>
      </c>
      <c r="C47" s="220">
        <v>2019</v>
      </c>
      <c r="D47" s="9" t="s">
        <v>85</v>
      </c>
      <c r="E47" s="136">
        <f>$E$25*H186</f>
        <v>40.881766363330044</v>
      </c>
      <c r="F47" t="s">
        <v>959</v>
      </c>
      <c r="G47" s="172">
        <v>2</v>
      </c>
      <c r="H47" s="10">
        <v>1</v>
      </c>
      <c r="I47" s="66">
        <v>2</v>
      </c>
      <c r="J47" s="10">
        <v>1</v>
      </c>
      <c r="K47" s="10">
        <v>2</v>
      </c>
      <c r="L47" s="179">
        <f t="shared" si="1"/>
        <v>0.37356464144298934</v>
      </c>
      <c r="M47" s="60" t="s">
        <v>957</v>
      </c>
    </row>
    <row r="48" spans="1:13" s="2" customFormat="1">
      <c r="A48" s="143" t="s">
        <v>950</v>
      </c>
      <c r="B48" s="143" t="s">
        <v>180</v>
      </c>
      <c r="C48" s="220">
        <v>2019</v>
      </c>
      <c r="D48" s="9" t="s">
        <v>86</v>
      </c>
      <c r="E48" s="136">
        <f>$E$25*H187</f>
        <v>0.57869313747088835</v>
      </c>
      <c r="F48" t="s">
        <v>959</v>
      </c>
      <c r="G48" s="172">
        <v>2</v>
      </c>
      <c r="H48" s="10">
        <v>1</v>
      </c>
      <c r="I48" s="66">
        <v>2</v>
      </c>
      <c r="J48" s="10">
        <v>1</v>
      </c>
      <c r="K48" s="10">
        <v>2</v>
      </c>
      <c r="L48" s="179">
        <f t="shared" si="1"/>
        <v>0.37356464144298934</v>
      </c>
      <c r="M48" s="60" t="s">
        <v>957</v>
      </c>
    </row>
    <row r="49" spans="1:35" s="2" customFormat="1"/>
    <row r="50" spans="1:35" s="470" customFormat="1" ht="26.4"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950</v>
      </c>
      <c r="B52" s="161" t="s">
        <v>960</v>
      </c>
      <c r="C52" s="60" t="s">
        <v>180</v>
      </c>
      <c r="D52" s="161" t="s">
        <v>90</v>
      </c>
      <c r="E52" s="491">
        <f>E183*$E$249</f>
        <v>0.40710942904980374</v>
      </c>
      <c r="F52" s="418">
        <v>2</v>
      </c>
      <c r="G52" s="60" t="s">
        <v>961</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950</v>
      </c>
      <c r="B53" s="161" t="s">
        <v>960</v>
      </c>
      <c r="C53" s="34" t="s">
        <v>180</v>
      </c>
      <c r="D53" s="40" t="s">
        <v>88</v>
      </c>
      <c r="E53" s="491">
        <f t="shared" ref="E53:E56" si="4">E184*$E$249</f>
        <v>0</v>
      </c>
      <c r="F53" s="418">
        <v>2</v>
      </c>
      <c r="G53" s="34" t="s">
        <v>961</v>
      </c>
      <c r="H53" s="249">
        <v>1</v>
      </c>
      <c r="I53" s="10"/>
      <c r="J53" s="66">
        <v>2</v>
      </c>
      <c r="K53" s="66">
        <v>1</v>
      </c>
      <c r="L53" s="66">
        <v>1</v>
      </c>
      <c r="M53" s="295">
        <v>2</v>
      </c>
      <c r="N53" s="298">
        <f t="shared" si="2"/>
        <v>0.35859414261160716</v>
      </c>
      <c r="O53" s="446" t="str">
        <f t="shared" si="3"/>
        <v/>
      </c>
      <c r="P53" s="68"/>
    </row>
    <row r="54" spans="1:35" s="2" customFormat="1">
      <c r="A54" s="34" t="s">
        <v>950</v>
      </c>
      <c r="B54" s="161" t="s">
        <v>960</v>
      </c>
      <c r="C54" s="34" t="s">
        <v>180</v>
      </c>
      <c r="D54" s="40" t="s">
        <v>87</v>
      </c>
      <c r="E54" s="491">
        <f t="shared" si="4"/>
        <v>0</v>
      </c>
      <c r="F54" s="418">
        <v>2</v>
      </c>
      <c r="G54" s="34" t="s">
        <v>961</v>
      </c>
      <c r="H54" s="249">
        <v>1</v>
      </c>
      <c r="I54" s="10"/>
      <c r="J54" s="66">
        <v>2</v>
      </c>
      <c r="K54" s="66">
        <v>1</v>
      </c>
      <c r="L54" s="66">
        <v>1</v>
      </c>
      <c r="M54" s="295">
        <v>2</v>
      </c>
      <c r="N54" s="298">
        <f t="shared" si="2"/>
        <v>0.35859414261160716</v>
      </c>
      <c r="O54" s="446" t="str">
        <f t="shared" si="3"/>
        <v/>
      </c>
      <c r="P54" s="68"/>
    </row>
    <row r="55" spans="1:35" s="2" customFormat="1">
      <c r="A55" s="34" t="s">
        <v>950</v>
      </c>
      <c r="B55" s="161" t="s">
        <v>960</v>
      </c>
      <c r="C55" s="34" t="s">
        <v>180</v>
      </c>
      <c r="D55" s="40" t="s">
        <v>85</v>
      </c>
      <c r="E55" s="491">
        <f t="shared" si="4"/>
        <v>0.14312762142097193</v>
      </c>
      <c r="F55" s="418">
        <v>2</v>
      </c>
      <c r="G55" s="34" t="s">
        <v>961</v>
      </c>
      <c r="H55" s="249">
        <v>1</v>
      </c>
      <c r="I55" s="10"/>
      <c r="J55" s="10">
        <v>2</v>
      </c>
      <c r="K55" s="10">
        <v>1</v>
      </c>
      <c r="L55" s="10">
        <v>1</v>
      </c>
      <c r="M55" s="293">
        <v>2</v>
      </c>
      <c r="N55" s="298">
        <f t="shared" si="2"/>
        <v>0.35859414261160716</v>
      </c>
      <c r="O55" s="446" t="str">
        <f t="shared" si="3"/>
        <v/>
      </c>
      <c r="P55" s="68"/>
    </row>
    <row r="56" spans="1:35" s="2" customFormat="1">
      <c r="A56" s="34" t="s">
        <v>950</v>
      </c>
      <c r="B56" s="161" t="s">
        <v>960</v>
      </c>
      <c r="C56" s="34" t="s">
        <v>180</v>
      </c>
      <c r="D56" s="40" t="s">
        <v>86</v>
      </c>
      <c r="E56" s="491">
        <f t="shared" si="4"/>
        <v>0.56173601441995114</v>
      </c>
      <c r="F56" s="418">
        <v>2</v>
      </c>
      <c r="G56" s="34" t="s">
        <v>961</v>
      </c>
      <c r="H56" s="249">
        <v>1</v>
      </c>
      <c r="I56" s="10"/>
      <c r="J56" s="10">
        <v>2</v>
      </c>
      <c r="K56" s="10">
        <v>1</v>
      </c>
      <c r="L56" s="10">
        <v>1</v>
      </c>
      <c r="M56" s="293">
        <v>2</v>
      </c>
      <c r="N56" s="298">
        <f t="shared" si="2"/>
        <v>0.35859414261160716</v>
      </c>
      <c r="O56" s="446" t="str">
        <f t="shared" si="3"/>
        <v/>
      </c>
      <c r="P56" s="68"/>
    </row>
    <row r="57" spans="1:35" s="2" customFormat="1">
      <c r="A57" s="34" t="s">
        <v>950</v>
      </c>
      <c r="B57" s="161" t="s">
        <v>960</v>
      </c>
      <c r="C57" s="34" t="s">
        <v>182</v>
      </c>
      <c r="D57" s="40" t="s">
        <v>90</v>
      </c>
      <c r="E57" s="491">
        <f>E165*$E$249</f>
        <v>0.16733929871138836</v>
      </c>
      <c r="F57" s="418">
        <v>2</v>
      </c>
      <c r="G57" s="34" t="s">
        <v>962</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950</v>
      </c>
      <c r="B58" s="161" t="s">
        <v>960</v>
      </c>
      <c r="C58" s="34" t="s">
        <v>182</v>
      </c>
      <c r="D58" s="40" t="s">
        <v>88</v>
      </c>
      <c r="E58" s="491">
        <f>E166*$E$249</f>
        <v>0</v>
      </c>
      <c r="F58" s="418">
        <v>2</v>
      </c>
      <c r="G58" s="34" t="s">
        <v>962</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950</v>
      </c>
      <c r="B59" s="161" t="s">
        <v>960</v>
      </c>
      <c r="C59" s="34" t="s">
        <v>182</v>
      </c>
      <c r="D59" s="40" t="s">
        <v>87</v>
      </c>
      <c r="E59" s="491">
        <f>E167*$E$249</f>
        <v>0</v>
      </c>
      <c r="F59" s="418">
        <v>2</v>
      </c>
      <c r="G59" s="34" t="s">
        <v>962</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950</v>
      </c>
      <c r="B60" s="161" t="s">
        <v>960</v>
      </c>
      <c r="C60" s="34" t="s">
        <v>182</v>
      </c>
      <c r="D60" s="40" t="s">
        <v>85</v>
      </c>
      <c r="E60" s="491">
        <f>E168*$E$249</f>
        <v>4.5444861462717513E-2</v>
      </c>
      <c r="F60" s="418">
        <v>2</v>
      </c>
      <c r="G60" s="34" t="s">
        <v>962</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950</v>
      </c>
      <c r="B61" s="161" t="s">
        <v>960</v>
      </c>
      <c r="C61" s="34" t="s">
        <v>182</v>
      </c>
      <c r="D61" s="40" t="s">
        <v>86</v>
      </c>
      <c r="E61" s="491">
        <f>E169*$E$249</f>
        <v>0.27835662942036199</v>
      </c>
      <c r="F61" s="418">
        <v>2</v>
      </c>
      <c r="G61" s="34" t="s">
        <v>962</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950</v>
      </c>
      <c r="B62" s="161" t="s">
        <v>963</v>
      </c>
      <c r="C62" s="60" t="s">
        <v>180</v>
      </c>
      <c r="D62" s="161" t="s">
        <v>90</v>
      </c>
      <c r="E62" s="491">
        <f>F183</f>
        <v>0.2192024530360637</v>
      </c>
      <c r="F62" s="418">
        <v>2</v>
      </c>
      <c r="G62" s="60" t="s">
        <v>961</v>
      </c>
      <c r="H62" s="251">
        <v>1</v>
      </c>
      <c r="I62" s="66"/>
      <c r="J62" s="66">
        <v>2</v>
      </c>
      <c r="K62" s="66">
        <v>1</v>
      </c>
      <c r="L62" s="66">
        <v>1</v>
      </c>
      <c r="M62" s="295">
        <v>2</v>
      </c>
      <c r="N62" s="298">
        <f t="shared" si="2"/>
        <v>0.35859414261160716</v>
      </c>
      <c r="O62" s="446" t="str">
        <f t="shared" si="3"/>
        <v/>
      </c>
      <c r="P62" s="68"/>
    </row>
    <row r="63" spans="1:35">
      <c r="A63" s="34" t="s">
        <v>950</v>
      </c>
      <c r="B63" s="40" t="s">
        <v>963</v>
      </c>
      <c r="C63" s="34" t="s">
        <v>180</v>
      </c>
      <c r="D63" s="40" t="s">
        <v>88</v>
      </c>
      <c r="E63" s="491">
        <f>F184</f>
        <v>1</v>
      </c>
      <c r="F63" s="418">
        <v>2</v>
      </c>
      <c r="G63" s="34" t="s">
        <v>961</v>
      </c>
      <c r="H63" s="249">
        <v>1</v>
      </c>
      <c r="I63" s="10"/>
      <c r="J63" s="66">
        <v>2</v>
      </c>
      <c r="K63" s="66">
        <v>1</v>
      </c>
      <c r="L63" s="66">
        <v>1</v>
      </c>
      <c r="M63" s="295">
        <v>2</v>
      </c>
      <c r="N63" s="298">
        <f t="shared" si="2"/>
        <v>0.35859414261160716</v>
      </c>
      <c r="O63" s="446" t="str">
        <f t="shared" si="3"/>
        <v/>
      </c>
      <c r="P63" s="68"/>
    </row>
    <row r="64" spans="1:35">
      <c r="A64" s="34" t="s">
        <v>950</v>
      </c>
      <c r="B64" s="40" t="s">
        <v>963</v>
      </c>
      <c r="C64" s="34" t="s">
        <v>180</v>
      </c>
      <c r="D64" s="40" t="s">
        <v>87</v>
      </c>
      <c r="E64" s="491">
        <f>F185</f>
        <v>1</v>
      </c>
      <c r="F64" s="418">
        <v>2</v>
      </c>
      <c r="G64" s="34" t="s">
        <v>961</v>
      </c>
      <c r="H64" s="249">
        <v>1</v>
      </c>
      <c r="I64" s="10"/>
      <c r="J64" s="66">
        <v>2</v>
      </c>
      <c r="K64" s="66">
        <v>1</v>
      </c>
      <c r="L64" s="66">
        <v>1</v>
      </c>
      <c r="M64" s="295">
        <v>2</v>
      </c>
      <c r="N64" s="298">
        <f t="shared" si="2"/>
        <v>0.35859414261160716</v>
      </c>
      <c r="O64" s="446" t="str">
        <f t="shared" si="3"/>
        <v/>
      </c>
      <c r="P64" s="68"/>
    </row>
    <row r="65" spans="1:16">
      <c r="A65" s="34" t="s">
        <v>950</v>
      </c>
      <c r="B65" s="40" t="s">
        <v>963</v>
      </c>
      <c r="C65" s="34" t="s">
        <v>180</v>
      </c>
      <c r="D65" s="40" t="s">
        <v>85</v>
      </c>
      <c r="E65" s="491">
        <f>F186</f>
        <v>8.6056019698713113E-2</v>
      </c>
      <c r="F65" s="418">
        <v>2</v>
      </c>
      <c r="G65" s="34" t="s">
        <v>961</v>
      </c>
      <c r="H65" s="249">
        <v>1</v>
      </c>
      <c r="I65" s="10"/>
      <c r="J65" s="10">
        <v>2</v>
      </c>
      <c r="K65" s="10">
        <v>1</v>
      </c>
      <c r="L65" s="10">
        <v>1</v>
      </c>
      <c r="M65" s="293">
        <v>2</v>
      </c>
      <c r="N65" s="298">
        <f t="shared" si="2"/>
        <v>0.35859414261160716</v>
      </c>
      <c r="O65" s="446" t="str">
        <f t="shared" si="3"/>
        <v/>
      </c>
      <c r="P65" s="68"/>
    </row>
    <row r="66" spans="1:16">
      <c r="A66" s="34" t="s">
        <v>950</v>
      </c>
      <c r="B66" s="40" t="s">
        <v>963</v>
      </c>
      <c r="C66" s="34" t="s">
        <v>180</v>
      </c>
      <c r="D66" s="40" t="s">
        <v>86</v>
      </c>
      <c r="E66" s="491">
        <f>F187</f>
        <v>0.39319670484919866</v>
      </c>
      <c r="F66" s="418">
        <v>2</v>
      </c>
      <c r="G66" s="34" t="s">
        <v>961</v>
      </c>
      <c r="H66" s="249">
        <v>1</v>
      </c>
      <c r="I66" s="10"/>
      <c r="J66" s="10">
        <v>2</v>
      </c>
      <c r="K66" s="10">
        <v>1</v>
      </c>
      <c r="L66" s="10">
        <v>1</v>
      </c>
      <c r="M66" s="293">
        <v>2</v>
      </c>
      <c r="N66" s="298">
        <f t="shared" si="2"/>
        <v>0.35859414261160716</v>
      </c>
      <c r="O66" s="446" t="str">
        <f t="shared" si="3"/>
        <v/>
      </c>
      <c r="P66" s="68"/>
    </row>
    <row r="67" spans="1:16">
      <c r="A67" s="34" t="s">
        <v>950</v>
      </c>
      <c r="B67" s="40" t="s">
        <v>963</v>
      </c>
      <c r="C67" s="34" t="s">
        <v>182</v>
      </c>
      <c r="D67" s="40" t="s">
        <v>90</v>
      </c>
      <c r="E67" s="216">
        <f>F165</f>
        <v>0.32338771379945241</v>
      </c>
      <c r="F67" s="418">
        <v>2</v>
      </c>
      <c r="G67" s="34" t="s">
        <v>962</v>
      </c>
      <c r="H67" s="249"/>
      <c r="I67" s="10">
        <v>1</v>
      </c>
      <c r="J67" s="66">
        <v>2</v>
      </c>
      <c r="K67" s="10">
        <v>1</v>
      </c>
      <c r="L67" s="10">
        <v>1</v>
      </c>
      <c r="M67" s="293">
        <v>2</v>
      </c>
      <c r="N67" s="298" t="str">
        <f t="shared" si="2"/>
        <v/>
      </c>
      <c r="O67" s="446">
        <f t="shared" si="3"/>
        <v>0.35859414261160716</v>
      </c>
      <c r="P67" s="68"/>
    </row>
    <row r="68" spans="1:16">
      <c r="A68" s="34" t="s">
        <v>950</v>
      </c>
      <c r="B68" s="40" t="s">
        <v>963</v>
      </c>
      <c r="C68" s="34" t="s">
        <v>182</v>
      </c>
      <c r="D68" s="40" t="s">
        <v>88</v>
      </c>
      <c r="E68" s="216">
        <f t="shared" ref="E68:E71" si="5">F166</f>
        <v>1</v>
      </c>
      <c r="F68" s="418">
        <v>2</v>
      </c>
      <c r="G68" s="34" t="s">
        <v>962</v>
      </c>
      <c r="H68" s="249"/>
      <c r="I68" s="10">
        <v>1</v>
      </c>
      <c r="J68" s="66">
        <v>2</v>
      </c>
      <c r="K68" s="10">
        <v>1</v>
      </c>
      <c r="L68" s="10">
        <v>1</v>
      </c>
      <c r="M68" s="293">
        <v>2</v>
      </c>
      <c r="N68" s="298" t="str">
        <f t="shared" si="2"/>
        <v/>
      </c>
      <c r="O68" s="446">
        <f t="shared" si="3"/>
        <v>0.35859414261160716</v>
      </c>
      <c r="P68" s="68"/>
    </row>
    <row r="69" spans="1:16">
      <c r="A69" s="34" t="s">
        <v>950</v>
      </c>
      <c r="B69" s="40" t="s">
        <v>963</v>
      </c>
      <c r="C69" s="34" t="s">
        <v>182</v>
      </c>
      <c r="D69" s="40" t="s">
        <v>87</v>
      </c>
      <c r="E69" s="216">
        <f t="shared" si="5"/>
        <v>1</v>
      </c>
      <c r="F69" s="418">
        <v>2</v>
      </c>
      <c r="G69" s="34" t="s">
        <v>962</v>
      </c>
      <c r="H69" s="249"/>
      <c r="I69" s="10">
        <v>1</v>
      </c>
      <c r="J69" s="66">
        <v>2</v>
      </c>
      <c r="K69" s="10">
        <v>1</v>
      </c>
      <c r="L69" s="10">
        <v>1</v>
      </c>
      <c r="M69" s="293">
        <v>2</v>
      </c>
      <c r="N69" s="298" t="str">
        <f t="shared" si="2"/>
        <v/>
      </c>
      <c r="O69" s="446">
        <f t="shared" si="3"/>
        <v>0.35859414261160716</v>
      </c>
      <c r="P69" s="68"/>
    </row>
    <row r="70" spans="1:16">
      <c r="A70" s="34" t="s">
        <v>950</v>
      </c>
      <c r="B70" s="40" t="s">
        <v>963</v>
      </c>
      <c r="C70" s="34" t="s">
        <v>182</v>
      </c>
      <c r="D70" s="40" t="s">
        <v>85</v>
      </c>
      <c r="E70" s="216">
        <f t="shared" si="5"/>
        <v>9.8069487929673418E-2</v>
      </c>
      <c r="F70" s="418">
        <v>2</v>
      </c>
      <c r="G70" s="34" t="s">
        <v>962</v>
      </c>
      <c r="H70" s="249"/>
      <c r="I70" s="10">
        <v>1</v>
      </c>
      <c r="J70" s="10">
        <v>2</v>
      </c>
      <c r="K70" s="10">
        <v>1</v>
      </c>
      <c r="L70" s="10">
        <v>1</v>
      </c>
      <c r="M70" s="293">
        <v>2</v>
      </c>
      <c r="N70" s="298" t="str">
        <f t="shared" si="2"/>
        <v/>
      </c>
      <c r="O70" s="446">
        <f t="shared" si="3"/>
        <v>0.35859414261160716</v>
      </c>
      <c r="P70" s="68"/>
    </row>
    <row r="71" spans="1:16">
      <c r="A71" s="34" t="s">
        <v>950</v>
      </c>
      <c r="B71" s="40" t="s">
        <v>963</v>
      </c>
      <c r="C71" s="34" t="s">
        <v>182</v>
      </c>
      <c r="D71" s="40" t="s">
        <v>86</v>
      </c>
      <c r="E71" s="216">
        <f t="shared" si="5"/>
        <v>0.6993112144789928</v>
      </c>
      <c r="F71" s="418">
        <v>2</v>
      </c>
      <c r="G71" s="34" t="s">
        <v>962</v>
      </c>
      <c r="H71" s="249"/>
      <c r="I71" s="10">
        <v>1</v>
      </c>
      <c r="J71" s="10">
        <v>2</v>
      </c>
      <c r="K71" s="10">
        <v>1</v>
      </c>
      <c r="L71" s="10">
        <v>1</v>
      </c>
      <c r="M71" s="293">
        <v>2</v>
      </c>
      <c r="N71" s="298" t="str">
        <f t="shared" si="2"/>
        <v/>
      </c>
      <c r="O71" s="446">
        <f t="shared" si="3"/>
        <v>0.35859414261160716</v>
      </c>
      <c r="P71" s="68"/>
    </row>
    <row r="72" spans="1:16">
      <c r="A72" s="60" t="s">
        <v>950</v>
      </c>
      <c r="B72" s="161" t="s">
        <v>964</v>
      </c>
      <c r="C72" s="60" t="s">
        <v>180</v>
      </c>
      <c r="D72" s="161" t="s">
        <v>90</v>
      </c>
      <c r="E72" s="491">
        <f>G183*SUM($E$238:$E$241, $E$236)</f>
        <v>6.3729615065902419E-3</v>
      </c>
      <c r="F72" s="418">
        <v>2</v>
      </c>
      <c r="G72" s="230" t="s">
        <v>961</v>
      </c>
      <c r="H72" s="224">
        <v>1</v>
      </c>
      <c r="I72" s="224"/>
      <c r="J72" s="66">
        <v>2</v>
      </c>
      <c r="K72" s="224">
        <v>1</v>
      </c>
      <c r="L72" s="224">
        <v>1</v>
      </c>
      <c r="M72" s="295">
        <v>2</v>
      </c>
      <c r="N72" s="298">
        <f t="shared" si="2"/>
        <v>0.35859414261160716</v>
      </c>
      <c r="O72" s="446" t="str">
        <f t="shared" si="3"/>
        <v/>
      </c>
      <c r="P72" s="68"/>
    </row>
    <row r="73" spans="1:16">
      <c r="A73" s="34" t="s">
        <v>950</v>
      </c>
      <c r="B73" s="161" t="s">
        <v>964</v>
      </c>
      <c r="C73" s="34" t="s">
        <v>180</v>
      </c>
      <c r="D73" s="40" t="s">
        <v>88</v>
      </c>
      <c r="E73" s="491">
        <f t="shared" ref="E73:E76" si="6">G184*SUM($E$238:$E$241, $E$236)</f>
        <v>0</v>
      </c>
      <c r="F73" s="168">
        <v>2</v>
      </c>
      <c r="G73" s="151" t="s">
        <v>961</v>
      </c>
      <c r="H73" s="224">
        <v>1</v>
      </c>
      <c r="I73" s="224"/>
      <c r="J73" s="66">
        <v>2</v>
      </c>
      <c r="K73" s="224">
        <v>1</v>
      </c>
      <c r="L73" s="224">
        <v>1</v>
      </c>
      <c r="M73" s="295">
        <v>2</v>
      </c>
      <c r="N73" s="298">
        <f t="shared" si="2"/>
        <v>0.35859414261160716</v>
      </c>
      <c r="O73" s="446" t="str">
        <f t="shared" si="3"/>
        <v/>
      </c>
      <c r="P73" s="68"/>
    </row>
    <row r="74" spans="1:16">
      <c r="A74" s="34" t="s">
        <v>950</v>
      </c>
      <c r="B74" s="161" t="s">
        <v>964</v>
      </c>
      <c r="C74" s="34" t="s">
        <v>180</v>
      </c>
      <c r="D74" s="40" t="s">
        <v>87</v>
      </c>
      <c r="E74" s="491">
        <f t="shared" si="6"/>
        <v>0</v>
      </c>
      <c r="F74" s="168">
        <v>2</v>
      </c>
      <c r="G74" s="151" t="s">
        <v>961</v>
      </c>
      <c r="H74" s="224">
        <v>1</v>
      </c>
      <c r="I74" s="224"/>
      <c r="J74" s="66">
        <v>2</v>
      </c>
      <c r="K74" s="224">
        <v>1</v>
      </c>
      <c r="L74" s="224">
        <v>1</v>
      </c>
      <c r="M74" s="295">
        <v>2</v>
      </c>
      <c r="N74" s="298">
        <f t="shared" si="2"/>
        <v>0.35859414261160716</v>
      </c>
      <c r="O74" s="446" t="str">
        <f t="shared" si="3"/>
        <v/>
      </c>
      <c r="P74" s="68"/>
    </row>
    <row r="75" spans="1:16">
      <c r="A75" s="34" t="s">
        <v>950</v>
      </c>
      <c r="B75" s="161" t="s">
        <v>964</v>
      </c>
      <c r="C75" s="34" t="s">
        <v>180</v>
      </c>
      <c r="D75" s="40" t="s">
        <v>85</v>
      </c>
      <c r="E75" s="491">
        <f t="shared" si="6"/>
        <v>1.4190115628548983E-2</v>
      </c>
      <c r="F75" s="168">
        <v>2</v>
      </c>
      <c r="G75" s="151" t="s">
        <v>961</v>
      </c>
      <c r="H75" s="224">
        <v>1</v>
      </c>
      <c r="I75" s="224"/>
      <c r="J75" s="10">
        <v>2</v>
      </c>
      <c r="K75" s="224">
        <v>1</v>
      </c>
      <c r="L75" s="224">
        <v>1</v>
      </c>
      <c r="M75" s="293">
        <v>2</v>
      </c>
      <c r="N75" s="298">
        <f t="shared" si="2"/>
        <v>0.35859414261160716</v>
      </c>
      <c r="O75" s="446" t="str">
        <f t="shared" si="3"/>
        <v/>
      </c>
      <c r="P75" s="68"/>
    </row>
    <row r="76" spans="1:16">
      <c r="A76" s="34" t="s">
        <v>950</v>
      </c>
      <c r="B76" s="161" t="s">
        <v>964</v>
      </c>
      <c r="C76" s="34" t="s">
        <v>180</v>
      </c>
      <c r="D76" s="40" t="s">
        <v>86</v>
      </c>
      <c r="E76" s="491">
        <f t="shared" si="6"/>
        <v>0</v>
      </c>
      <c r="F76" s="168">
        <v>2</v>
      </c>
      <c r="G76" s="151" t="s">
        <v>961</v>
      </c>
      <c r="H76" s="224">
        <v>1</v>
      </c>
      <c r="I76" s="224"/>
      <c r="J76" s="10">
        <v>2</v>
      </c>
      <c r="K76" s="224">
        <v>1</v>
      </c>
      <c r="L76" s="224">
        <v>1</v>
      </c>
      <c r="M76" s="293">
        <v>2</v>
      </c>
      <c r="N76" s="298">
        <f t="shared" si="2"/>
        <v>0.35859414261160716</v>
      </c>
      <c r="O76" s="446" t="str">
        <f t="shared" si="3"/>
        <v/>
      </c>
      <c r="P76" s="68"/>
    </row>
    <row r="77" spans="1:16">
      <c r="A77" s="34" t="s">
        <v>950</v>
      </c>
      <c r="B77" s="161" t="s">
        <v>964</v>
      </c>
      <c r="C77" s="34" t="s">
        <v>182</v>
      </c>
      <c r="D77" s="40" t="s">
        <v>90</v>
      </c>
      <c r="E77" s="491">
        <f>G165*SUM($E$238:$E$241, $E$236)</f>
        <v>9.2661989829646799E-3</v>
      </c>
      <c r="F77" s="168">
        <v>2</v>
      </c>
      <c r="G77" s="151" t="s">
        <v>962</v>
      </c>
      <c r="H77" s="224"/>
      <c r="I77" s="224">
        <v>1</v>
      </c>
      <c r="J77" s="66">
        <v>2</v>
      </c>
      <c r="K77" s="224">
        <v>1</v>
      </c>
      <c r="L77" s="224">
        <v>1</v>
      </c>
      <c r="M77" s="293">
        <v>2</v>
      </c>
      <c r="N77" s="298" t="str">
        <f t="shared" si="2"/>
        <v/>
      </c>
      <c r="O77" s="446">
        <f t="shared" si="3"/>
        <v>0.35859414261160716</v>
      </c>
      <c r="P77" s="68"/>
    </row>
    <row r="78" spans="1:16">
      <c r="A78" s="34" t="s">
        <v>950</v>
      </c>
      <c r="B78" s="161" t="s">
        <v>964</v>
      </c>
      <c r="C78" s="34" t="s">
        <v>182</v>
      </c>
      <c r="D78" s="40" t="s">
        <v>88</v>
      </c>
      <c r="E78" s="491">
        <f t="shared" ref="E78:E81" si="7">G166*SUM($E$238:$E$241, $E$236)</f>
        <v>0</v>
      </c>
      <c r="F78" s="168">
        <v>2</v>
      </c>
      <c r="G78" s="151" t="s">
        <v>962</v>
      </c>
      <c r="H78" s="224"/>
      <c r="I78" s="224">
        <v>1</v>
      </c>
      <c r="J78" s="66">
        <v>2</v>
      </c>
      <c r="K78" s="224">
        <v>1</v>
      </c>
      <c r="L78" s="224">
        <v>1</v>
      </c>
      <c r="M78" s="293">
        <v>2</v>
      </c>
      <c r="N78" s="298" t="str">
        <f t="shared" si="2"/>
        <v/>
      </c>
      <c r="O78" s="446">
        <f t="shared" si="3"/>
        <v>0.35859414261160716</v>
      </c>
      <c r="P78" s="68"/>
    </row>
    <row r="79" spans="1:16">
      <c r="A79" s="34" t="s">
        <v>950</v>
      </c>
      <c r="B79" s="161" t="s">
        <v>964</v>
      </c>
      <c r="C79" s="34" t="s">
        <v>182</v>
      </c>
      <c r="D79" s="40" t="s">
        <v>87</v>
      </c>
      <c r="E79" s="491">
        <f t="shared" si="7"/>
        <v>0</v>
      </c>
      <c r="F79" s="168">
        <v>2</v>
      </c>
      <c r="G79" s="151" t="s">
        <v>962</v>
      </c>
      <c r="H79" s="224"/>
      <c r="I79" s="224">
        <v>1</v>
      </c>
      <c r="J79" s="66">
        <v>2</v>
      </c>
      <c r="K79" s="224">
        <v>1</v>
      </c>
      <c r="L79" s="224">
        <v>1</v>
      </c>
      <c r="M79" s="293">
        <v>2</v>
      </c>
      <c r="N79" s="298" t="str">
        <f t="shared" si="2"/>
        <v/>
      </c>
      <c r="O79" s="446">
        <f t="shared" si="3"/>
        <v>0.35859414261160716</v>
      </c>
      <c r="P79" s="68"/>
    </row>
    <row r="80" spans="1:16">
      <c r="A80" s="34" t="s">
        <v>950</v>
      </c>
      <c r="B80" s="161" t="s">
        <v>964</v>
      </c>
      <c r="C80" s="34" t="s">
        <v>182</v>
      </c>
      <c r="D80" s="40" t="s">
        <v>85</v>
      </c>
      <c r="E80" s="491">
        <f t="shared" si="7"/>
        <v>1.5937522374961335E-2</v>
      </c>
      <c r="F80" s="168">
        <v>2</v>
      </c>
      <c r="G80" s="151" t="s">
        <v>962</v>
      </c>
      <c r="H80" s="224"/>
      <c r="I80" s="224">
        <v>1</v>
      </c>
      <c r="J80" s="10">
        <v>2</v>
      </c>
      <c r="K80" s="224">
        <v>1</v>
      </c>
      <c r="L80" s="224">
        <v>1</v>
      </c>
      <c r="M80" s="293">
        <v>2</v>
      </c>
      <c r="N80" s="298" t="str">
        <f t="shared" si="2"/>
        <v/>
      </c>
      <c r="O80" s="446">
        <f t="shared" si="3"/>
        <v>0.35859414261160716</v>
      </c>
      <c r="P80" s="68"/>
    </row>
    <row r="81" spans="1:16">
      <c r="A81" s="149" t="s">
        <v>950</v>
      </c>
      <c r="B81" s="161" t="s">
        <v>964</v>
      </c>
      <c r="C81" s="34" t="s">
        <v>182</v>
      </c>
      <c r="D81" s="63" t="s">
        <v>86</v>
      </c>
      <c r="E81" s="491">
        <f t="shared" si="7"/>
        <v>0</v>
      </c>
      <c r="F81" s="170">
        <v>2</v>
      </c>
      <c r="G81" s="227" t="s">
        <v>962</v>
      </c>
      <c r="H81" s="224"/>
      <c r="I81" s="224">
        <v>1</v>
      </c>
      <c r="J81" s="10">
        <v>2</v>
      </c>
      <c r="K81" s="224">
        <v>1</v>
      </c>
      <c r="L81" s="224">
        <v>1</v>
      </c>
      <c r="M81" s="293">
        <v>2</v>
      </c>
      <c r="N81" s="298" t="str">
        <f t="shared" si="2"/>
        <v/>
      </c>
      <c r="O81" s="446">
        <f t="shared" si="3"/>
        <v>0.35859414261160716</v>
      </c>
      <c r="P81" s="68"/>
    </row>
    <row r="82" spans="1:16">
      <c r="A82" s="149" t="s">
        <v>950</v>
      </c>
      <c r="B82" s="161" t="s">
        <v>965</v>
      </c>
      <c r="C82" s="60" t="s">
        <v>180</v>
      </c>
      <c r="D82" s="161" t="s">
        <v>90</v>
      </c>
      <c r="E82" s="492">
        <f>E183*SUM($E$250:$E$253, $E$248)</f>
        <v>3.2661809918149924E-2</v>
      </c>
      <c r="F82" s="171">
        <v>2</v>
      </c>
      <c r="G82" s="151" t="s">
        <v>961</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950</v>
      </c>
      <c r="B83" s="161" t="s">
        <v>965</v>
      </c>
      <c r="C83" s="34" t="s">
        <v>180</v>
      </c>
      <c r="D83" s="40" t="s">
        <v>88</v>
      </c>
      <c r="E83" s="491">
        <f t="shared" ref="E83:E86" si="10">E184*SUM($E$250:$E$253, $E$248)</f>
        <v>0</v>
      </c>
      <c r="F83" s="418">
        <v>2</v>
      </c>
      <c r="G83" s="230" t="s">
        <v>961</v>
      </c>
      <c r="H83" s="224">
        <v>1</v>
      </c>
      <c r="I83" s="224"/>
      <c r="J83" s="66">
        <v>2</v>
      </c>
      <c r="K83" s="224">
        <v>1</v>
      </c>
      <c r="L83" s="224">
        <v>1</v>
      </c>
      <c r="M83" s="295">
        <v>2</v>
      </c>
      <c r="N83" s="298">
        <f t="shared" si="8"/>
        <v>0.35859414261160716</v>
      </c>
      <c r="O83" s="446" t="str">
        <f t="shared" si="9"/>
        <v/>
      </c>
      <c r="P83" s="68"/>
    </row>
    <row r="84" spans="1:16">
      <c r="A84" s="149" t="s">
        <v>950</v>
      </c>
      <c r="B84" s="161" t="s">
        <v>965</v>
      </c>
      <c r="C84" s="34" t="s">
        <v>180</v>
      </c>
      <c r="D84" s="40" t="s">
        <v>87</v>
      </c>
      <c r="E84" s="491">
        <f t="shared" si="10"/>
        <v>0</v>
      </c>
      <c r="F84" s="168">
        <v>2</v>
      </c>
      <c r="G84" s="151" t="s">
        <v>961</v>
      </c>
      <c r="H84" s="224">
        <v>1</v>
      </c>
      <c r="I84" s="224"/>
      <c r="J84" s="66">
        <v>2</v>
      </c>
      <c r="K84" s="224">
        <v>1</v>
      </c>
      <c r="L84" s="224">
        <v>1</v>
      </c>
      <c r="M84" s="295">
        <v>2</v>
      </c>
      <c r="N84" s="298">
        <f t="shared" si="8"/>
        <v>0.35859414261160716</v>
      </c>
      <c r="O84" s="446" t="str">
        <f t="shared" si="9"/>
        <v/>
      </c>
      <c r="P84" s="68"/>
    </row>
    <row r="85" spans="1:16">
      <c r="A85" s="149" t="s">
        <v>950</v>
      </c>
      <c r="B85" s="161" t="s">
        <v>965</v>
      </c>
      <c r="C85" s="34" t="s">
        <v>180</v>
      </c>
      <c r="D85" s="40" t="s">
        <v>85</v>
      </c>
      <c r="E85" s="491">
        <f t="shared" si="10"/>
        <v>1.1482925305365051E-2</v>
      </c>
      <c r="F85" s="168">
        <v>2</v>
      </c>
      <c r="G85" s="151" t="s">
        <v>961</v>
      </c>
      <c r="H85" s="224">
        <v>1</v>
      </c>
      <c r="I85" s="224"/>
      <c r="J85" s="10">
        <v>2</v>
      </c>
      <c r="K85" s="224">
        <v>1</v>
      </c>
      <c r="L85" s="224">
        <v>1</v>
      </c>
      <c r="M85" s="293">
        <v>2</v>
      </c>
      <c r="N85" s="298">
        <f t="shared" si="8"/>
        <v>0.35859414261160716</v>
      </c>
      <c r="O85" s="446" t="str">
        <f t="shared" si="9"/>
        <v/>
      </c>
      <c r="P85" s="68"/>
    </row>
    <row r="86" spans="1:16">
      <c r="A86" s="149" t="s">
        <v>950</v>
      </c>
      <c r="B86" s="161" t="s">
        <v>965</v>
      </c>
      <c r="C86" s="34" t="s">
        <v>180</v>
      </c>
      <c r="D86" s="40" t="s">
        <v>86</v>
      </c>
      <c r="E86" s="491">
        <f t="shared" si="10"/>
        <v>4.5067280730850014E-2</v>
      </c>
      <c r="F86" s="168">
        <v>2</v>
      </c>
      <c r="G86" s="151" t="s">
        <v>961</v>
      </c>
      <c r="H86" s="224">
        <v>1</v>
      </c>
      <c r="I86" s="224"/>
      <c r="J86" s="10">
        <v>2</v>
      </c>
      <c r="K86" s="224">
        <v>1</v>
      </c>
      <c r="L86" s="224">
        <v>1</v>
      </c>
      <c r="M86" s="293">
        <v>2</v>
      </c>
      <c r="N86" s="298">
        <f t="shared" si="8"/>
        <v>0.35859414261160716</v>
      </c>
      <c r="O86" s="446" t="str">
        <f t="shared" si="9"/>
        <v/>
      </c>
      <c r="P86" s="68"/>
    </row>
    <row r="87" spans="1:16">
      <c r="A87" s="149" t="s">
        <v>950</v>
      </c>
      <c r="B87" s="161" t="s">
        <v>965</v>
      </c>
      <c r="C87" s="34" t="s">
        <v>182</v>
      </c>
      <c r="D87" s="40" t="s">
        <v>90</v>
      </c>
      <c r="E87" s="491">
        <f>E165*SUM($E$250:$E$253, $E$248)</f>
        <v>1.3425393705826556E-2</v>
      </c>
      <c r="F87" s="168">
        <v>2</v>
      </c>
      <c r="G87" s="151" t="s">
        <v>962</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950</v>
      </c>
      <c r="B88" s="161" t="s">
        <v>965</v>
      </c>
      <c r="C88" s="34" t="s">
        <v>182</v>
      </c>
      <c r="D88" s="40" t="s">
        <v>88</v>
      </c>
      <c r="E88" s="491">
        <f t="shared" ref="E88:E91" si="11">E166*SUM($E$250:$E$253, $E$248)</f>
        <v>0</v>
      </c>
      <c r="F88" s="168">
        <v>2</v>
      </c>
      <c r="G88" s="151" t="s">
        <v>962</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950</v>
      </c>
      <c r="B89" s="161" t="s">
        <v>965</v>
      </c>
      <c r="C89" s="34" t="s">
        <v>182</v>
      </c>
      <c r="D89" s="40" t="s">
        <v>87</v>
      </c>
      <c r="E89" s="491">
        <f t="shared" si="11"/>
        <v>0</v>
      </c>
      <c r="F89" s="168">
        <v>2</v>
      </c>
      <c r="G89" s="151" t="s">
        <v>962</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950</v>
      </c>
      <c r="B90" s="161" t="s">
        <v>965</v>
      </c>
      <c r="C90" s="34" t="s">
        <v>182</v>
      </c>
      <c r="D90" s="40" t="s">
        <v>85</v>
      </c>
      <c r="E90" s="491">
        <f t="shared" si="11"/>
        <v>3.6459765383384255E-3</v>
      </c>
      <c r="F90" s="168">
        <v>2</v>
      </c>
      <c r="G90" s="151" t="s">
        <v>962</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950</v>
      </c>
      <c r="B91" s="161" t="s">
        <v>965</v>
      </c>
      <c r="C91" s="34" t="s">
        <v>182</v>
      </c>
      <c r="D91" s="40" t="s">
        <v>86</v>
      </c>
      <c r="E91" s="491">
        <f t="shared" si="11"/>
        <v>2.233215610064521E-2</v>
      </c>
      <c r="F91" s="168">
        <v>2</v>
      </c>
      <c r="G91" s="151" t="s">
        <v>962</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950</v>
      </c>
      <c r="B92" s="161" t="s">
        <v>966</v>
      </c>
      <c r="C92" s="60" t="s">
        <v>180</v>
      </c>
      <c r="D92" s="161" t="s">
        <v>90</v>
      </c>
      <c r="E92" s="449">
        <f>G183*$E$237</f>
        <v>6.2695657834368257E-2</v>
      </c>
      <c r="F92" s="418">
        <v>1</v>
      </c>
      <c r="G92" s="230" t="s">
        <v>961</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950</v>
      </c>
      <c r="B93" s="161" t="s">
        <v>966</v>
      </c>
      <c r="C93" s="34" t="s">
        <v>180</v>
      </c>
      <c r="D93" s="40" t="s">
        <v>88</v>
      </c>
      <c r="E93" s="449">
        <f>G184*$E$237</f>
        <v>0</v>
      </c>
      <c r="F93" s="168">
        <v>1</v>
      </c>
      <c r="G93" s="34" t="s">
        <v>961</v>
      </c>
      <c r="H93" s="251">
        <v>1</v>
      </c>
      <c r="I93" s="66"/>
      <c r="J93" s="66">
        <v>2</v>
      </c>
      <c r="K93" s="66">
        <v>1</v>
      </c>
      <c r="L93" s="66">
        <v>1</v>
      </c>
      <c r="M93" s="295">
        <v>2</v>
      </c>
      <c r="N93" s="298">
        <f t="shared" si="12"/>
        <v>0.35859414261160716</v>
      </c>
      <c r="O93" s="446" t="str">
        <f t="shared" si="13"/>
        <v/>
      </c>
      <c r="P93" s="68"/>
    </row>
    <row r="94" spans="1:16">
      <c r="A94" s="34" t="s">
        <v>950</v>
      </c>
      <c r="B94" s="161" t="s">
        <v>966</v>
      </c>
      <c r="C94" s="34" t="s">
        <v>180</v>
      </c>
      <c r="D94" s="40" t="s">
        <v>87</v>
      </c>
      <c r="E94" s="449">
        <f>G185*$E$237</f>
        <v>0</v>
      </c>
      <c r="F94" s="168">
        <v>1</v>
      </c>
      <c r="G94" s="34" t="s">
        <v>961</v>
      </c>
      <c r="H94" s="251">
        <v>1</v>
      </c>
      <c r="I94" s="66"/>
      <c r="J94" s="66">
        <v>2</v>
      </c>
      <c r="K94" s="66">
        <v>1</v>
      </c>
      <c r="L94" s="66">
        <v>1</v>
      </c>
      <c r="M94" s="295">
        <v>2</v>
      </c>
      <c r="N94" s="298">
        <f t="shared" si="12"/>
        <v>0.35859414261160716</v>
      </c>
      <c r="O94" s="446" t="str">
        <f t="shared" si="13"/>
        <v/>
      </c>
      <c r="P94" s="68"/>
    </row>
    <row r="95" spans="1:16">
      <c r="A95" s="34" t="s">
        <v>950</v>
      </c>
      <c r="B95" s="161" t="s">
        <v>966</v>
      </c>
      <c r="C95" s="34" t="s">
        <v>180</v>
      </c>
      <c r="D95" s="40" t="s">
        <v>85</v>
      </c>
      <c r="E95" s="449">
        <f>G186*$E$237</f>
        <v>0.13959893420941549</v>
      </c>
      <c r="F95" s="168">
        <v>1</v>
      </c>
      <c r="G95" s="34" t="s">
        <v>961</v>
      </c>
      <c r="H95" s="251">
        <v>1</v>
      </c>
      <c r="I95" s="66"/>
      <c r="J95" s="10">
        <v>2</v>
      </c>
      <c r="K95" s="66">
        <v>1</v>
      </c>
      <c r="L95" s="66">
        <v>1</v>
      </c>
      <c r="M95" s="293">
        <v>2</v>
      </c>
      <c r="N95" s="298">
        <f t="shared" si="12"/>
        <v>0.35859414261160716</v>
      </c>
      <c r="O95" s="446" t="str">
        <f t="shared" si="13"/>
        <v/>
      </c>
      <c r="P95" s="68"/>
    </row>
    <row r="96" spans="1:16">
      <c r="A96" s="34" t="s">
        <v>950</v>
      </c>
      <c r="B96" s="161" t="s">
        <v>966</v>
      </c>
      <c r="C96" s="34" t="s">
        <v>180</v>
      </c>
      <c r="D96" s="40" t="s">
        <v>86</v>
      </c>
      <c r="E96" s="449">
        <f>G187*$E$237</f>
        <v>0</v>
      </c>
      <c r="F96" s="168">
        <v>1</v>
      </c>
      <c r="G96" s="34" t="s">
        <v>961</v>
      </c>
      <c r="H96" s="251">
        <v>1</v>
      </c>
      <c r="I96" s="66"/>
      <c r="J96" s="10">
        <v>2</v>
      </c>
      <c r="K96" s="66">
        <v>1</v>
      </c>
      <c r="L96" s="66">
        <v>1</v>
      </c>
      <c r="M96" s="293">
        <v>2</v>
      </c>
      <c r="N96" s="298">
        <f t="shared" si="12"/>
        <v>0.35859414261160716</v>
      </c>
      <c r="O96" s="446" t="str">
        <f t="shared" si="13"/>
        <v/>
      </c>
      <c r="P96" s="68"/>
    </row>
    <row r="97" spans="1:16">
      <c r="A97" s="34" t="s">
        <v>950</v>
      </c>
      <c r="B97" s="161" t="s">
        <v>966</v>
      </c>
      <c r="C97" s="34" t="s">
        <v>182</v>
      </c>
      <c r="D97" s="40" t="s">
        <v>90</v>
      </c>
      <c r="E97" s="449">
        <f>G165*$E$237</f>
        <v>9.1158630137710292E-2</v>
      </c>
      <c r="F97" s="168">
        <v>1</v>
      </c>
      <c r="G97" s="34" t="s">
        <v>962</v>
      </c>
      <c r="H97" s="249"/>
      <c r="I97" s="10">
        <v>1</v>
      </c>
      <c r="J97" s="66">
        <v>2</v>
      </c>
      <c r="K97" s="10">
        <v>1</v>
      </c>
      <c r="L97" s="10">
        <v>1</v>
      </c>
      <c r="M97" s="293">
        <v>2</v>
      </c>
      <c r="N97" s="298" t="str">
        <f t="shared" si="12"/>
        <v/>
      </c>
      <c r="O97" s="446">
        <f t="shared" si="13"/>
        <v>0.35859414261160716</v>
      </c>
      <c r="P97" s="68"/>
    </row>
    <row r="98" spans="1:16">
      <c r="A98" s="34" t="s">
        <v>950</v>
      </c>
      <c r="B98" s="161" t="s">
        <v>966</v>
      </c>
      <c r="C98" s="34" t="s">
        <v>182</v>
      </c>
      <c r="D98" s="40" t="s">
        <v>88</v>
      </c>
      <c r="E98" s="449">
        <f>G166*$E$237</f>
        <v>0</v>
      </c>
      <c r="F98" s="168">
        <v>1</v>
      </c>
      <c r="G98" s="34" t="s">
        <v>962</v>
      </c>
      <c r="H98" s="249"/>
      <c r="I98" s="10">
        <v>1</v>
      </c>
      <c r="J98" s="66">
        <v>2</v>
      </c>
      <c r="K98" s="10">
        <v>1</v>
      </c>
      <c r="L98" s="10">
        <v>1</v>
      </c>
      <c r="M98" s="293">
        <v>2</v>
      </c>
      <c r="N98" s="298" t="str">
        <f t="shared" si="12"/>
        <v/>
      </c>
      <c r="O98" s="446">
        <f t="shared" si="13"/>
        <v>0.35859414261160716</v>
      </c>
      <c r="P98" s="68"/>
    </row>
    <row r="99" spans="1:16">
      <c r="A99" s="34" t="s">
        <v>950</v>
      </c>
      <c r="B99" s="161" t="s">
        <v>966</v>
      </c>
      <c r="C99" s="34" t="s">
        <v>182</v>
      </c>
      <c r="D99" s="40" t="s">
        <v>87</v>
      </c>
      <c r="E99" s="449">
        <f>G167*$E$237</f>
        <v>0</v>
      </c>
      <c r="F99" s="168">
        <v>1</v>
      </c>
      <c r="G99" s="34" t="s">
        <v>962</v>
      </c>
      <c r="H99" s="249"/>
      <c r="I99" s="10">
        <v>1</v>
      </c>
      <c r="J99" s="66">
        <v>2</v>
      </c>
      <c r="K99" s="10">
        <v>1</v>
      </c>
      <c r="L99" s="10">
        <v>1</v>
      </c>
      <c r="M99" s="293">
        <v>2</v>
      </c>
      <c r="N99" s="298" t="str">
        <f t="shared" si="12"/>
        <v/>
      </c>
      <c r="O99" s="446">
        <f t="shared" si="13"/>
        <v>0.35859414261160716</v>
      </c>
      <c r="P99" s="68"/>
    </row>
    <row r="100" spans="1:16">
      <c r="A100" s="34" t="s">
        <v>950</v>
      </c>
      <c r="B100" s="161" t="s">
        <v>966</v>
      </c>
      <c r="C100" s="34" t="s">
        <v>182</v>
      </c>
      <c r="D100" s="40" t="s">
        <v>85</v>
      </c>
      <c r="E100" s="449">
        <f>G168*$E$237</f>
        <v>0.15678950022134661</v>
      </c>
      <c r="F100" s="168">
        <v>1</v>
      </c>
      <c r="G100" s="34" t="s">
        <v>962</v>
      </c>
      <c r="H100" s="249"/>
      <c r="I100" s="10">
        <v>1</v>
      </c>
      <c r="J100" s="10">
        <v>2</v>
      </c>
      <c r="K100" s="10">
        <v>1</v>
      </c>
      <c r="L100" s="10">
        <v>1</v>
      </c>
      <c r="M100" s="293">
        <v>2</v>
      </c>
      <c r="N100" s="298" t="str">
        <f t="shared" si="12"/>
        <v/>
      </c>
      <c r="O100" s="446">
        <f t="shared" si="13"/>
        <v>0.35859414261160716</v>
      </c>
      <c r="P100" s="68"/>
    </row>
    <row r="101" spans="1:16">
      <c r="A101" s="149" t="s">
        <v>950</v>
      </c>
      <c r="B101" s="7" t="s">
        <v>966</v>
      </c>
      <c r="C101" s="149" t="s">
        <v>182</v>
      </c>
      <c r="D101" s="153" t="s">
        <v>86</v>
      </c>
      <c r="E101" s="449">
        <f>G169*$E$237</f>
        <v>0</v>
      </c>
      <c r="F101" s="170">
        <v>1</v>
      </c>
      <c r="G101" s="149" t="s">
        <v>962</v>
      </c>
      <c r="H101" s="248"/>
      <c r="I101" s="10">
        <v>1</v>
      </c>
      <c r="J101" s="10">
        <v>2</v>
      </c>
      <c r="K101" s="10">
        <v>1</v>
      </c>
      <c r="L101" s="10">
        <v>1</v>
      </c>
      <c r="M101" s="293">
        <v>2</v>
      </c>
      <c r="N101" s="298" t="str">
        <f t="shared" si="12"/>
        <v/>
      </c>
      <c r="O101" s="446">
        <f t="shared" si="13"/>
        <v>0.35859414261160716</v>
      </c>
      <c r="P101" s="68"/>
    </row>
    <row r="102" spans="1:16">
      <c r="A102" s="34" t="s">
        <v>950</v>
      </c>
      <c r="B102" s="40" t="s">
        <v>967</v>
      </c>
      <c r="C102" s="34" t="s">
        <v>180</v>
      </c>
      <c r="D102" s="40" t="s">
        <v>90</v>
      </c>
      <c r="E102" s="237">
        <f>D183</f>
        <v>0.27195768865502412</v>
      </c>
      <c r="F102" s="168">
        <v>1</v>
      </c>
      <c r="G102" s="34" t="s">
        <v>961</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950</v>
      </c>
      <c r="B103" s="161" t="s">
        <v>967</v>
      </c>
      <c r="C103" s="34" t="s">
        <v>180</v>
      </c>
      <c r="D103" s="40" t="s">
        <v>88</v>
      </c>
      <c r="E103" s="237">
        <f>D184</f>
        <v>0</v>
      </c>
      <c r="F103" s="168">
        <v>1</v>
      </c>
      <c r="G103" s="34" t="s">
        <v>961</v>
      </c>
      <c r="H103" s="249">
        <v>1</v>
      </c>
      <c r="I103" s="10"/>
      <c r="J103" s="66">
        <v>2</v>
      </c>
      <c r="K103" s="10">
        <v>1</v>
      </c>
      <c r="L103" s="10">
        <v>1</v>
      </c>
      <c r="M103" s="295">
        <v>2</v>
      </c>
      <c r="N103" s="298">
        <f t="shared" si="14"/>
        <v>0.35859414261160716</v>
      </c>
      <c r="O103" s="446" t="str">
        <f t="shared" si="15"/>
        <v/>
      </c>
      <c r="P103" s="68"/>
    </row>
    <row r="104" spans="1:16">
      <c r="A104" s="34" t="s">
        <v>950</v>
      </c>
      <c r="B104" s="161" t="s">
        <v>967</v>
      </c>
      <c r="C104" s="34" t="s">
        <v>180</v>
      </c>
      <c r="D104" s="40" t="s">
        <v>87</v>
      </c>
      <c r="E104" s="237">
        <f>D185</f>
        <v>0</v>
      </c>
      <c r="F104" s="168">
        <v>1</v>
      </c>
      <c r="G104" s="34" t="s">
        <v>961</v>
      </c>
      <c r="H104" s="249">
        <v>1</v>
      </c>
      <c r="I104" s="10"/>
      <c r="J104" s="66">
        <v>2</v>
      </c>
      <c r="K104" s="10">
        <v>1</v>
      </c>
      <c r="L104" s="10">
        <v>1</v>
      </c>
      <c r="M104" s="295">
        <v>2</v>
      </c>
      <c r="N104" s="298">
        <f t="shared" si="14"/>
        <v>0.35859414261160716</v>
      </c>
      <c r="O104" s="446" t="str">
        <f t="shared" si="15"/>
        <v/>
      </c>
      <c r="P104" s="68"/>
    </row>
    <row r="105" spans="1:16">
      <c r="A105" s="34" t="s">
        <v>950</v>
      </c>
      <c r="B105" s="161" t="s">
        <v>967</v>
      </c>
      <c r="C105" s="34" t="s">
        <v>180</v>
      </c>
      <c r="D105" s="40" t="s">
        <v>85</v>
      </c>
      <c r="E105" s="237">
        <f>D186</f>
        <v>0.60554438373698527</v>
      </c>
      <c r="F105" s="168">
        <v>1</v>
      </c>
      <c r="G105" s="34" t="s">
        <v>961</v>
      </c>
      <c r="H105" s="249">
        <v>1</v>
      </c>
      <c r="I105" s="10"/>
      <c r="J105" s="10">
        <v>2</v>
      </c>
      <c r="K105" s="10">
        <v>1</v>
      </c>
      <c r="L105" s="10">
        <v>1</v>
      </c>
      <c r="M105" s="293">
        <v>2</v>
      </c>
      <c r="N105" s="298">
        <f t="shared" si="14"/>
        <v>0.35859414261160716</v>
      </c>
      <c r="O105" s="446" t="str">
        <f t="shared" si="15"/>
        <v/>
      </c>
      <c r="P105" s="68"/>
    </row>
    <row r="106" spans="1:16">
      <c r="A106" s="34" t="s">
        <v>950</v>
      </c>
      <c r="B106" s="161" t="s">
        <v>967</v>
      </c>
      <c r="C106" s="34" t="s">
        <v>180</v>
      </c>
      <c r="D106" s="40" t="s">
        <v>86</v>
      </c>
      <c r="E106" s="237">
        <f>D187</f>
        <v>0</v>
      </c>
      <c r="F106" s="168">
        <v>1</v>
      </c>
      <c r="G106" s="34" t="s">
        <v>961</v>
      </c>
      <c r="H106" s="249">
        <v>1</v>
      </c>
      <c r="I106" s="10"/>
      <c r="J106" s="10">
        <v>2</v>
      </c>
      <c r="K106" s="10">
        <v>1</v>
      </c>
      <c r="L106" s="10">
        <v>1</v>
      </c>
      <c r="M106" s="293">
        <v>2</v>
      </c>
      <c r="N106" s="298">
        <f t="shared" si="14"/>
        <v>0.35859414261160716</v>
      </c>
      <c r="O106" s="446" t="str">
        <f t="shared" si="15"/>
        <v/>
      </c>
      <c r="P106" s="68"/>
    </row>
    <row r="107" spans="1:16">
      <c r="A107" s="34" t="s">
        <v>950</v>
      </c>
      <c r="B107" s="161" t="s">
        <v>967</v>
      </c>
      <c r="C107" s="34" t="s">
        <v>182</v>
      </c>
      <c r="D107" s="40" t="s">
        <v>90</v>
      </c>
      <c r="E107" s="237">
        <f>D165</f>
        <v>0.39542276466265769</v>
      </c>
      <c r="F107" s="168">
        <v>1</v>
      </c>
      <c r="G107" s="34" t="s">
        <v>962</v>
      </c>
      <c r="H107" s="249"/>
      <c r="I107" s="10">
        <v>1</v>
      </c>
      <c r="J107" s="66">
        <v>2</v>
      </c>
      <c r="K107" s="10">
        <v>1</v>
      </c>
      <c r="L107" s="10">
        <v>1</v>
      </c>
      <c r="M107" s="293">
        <v>2</v>
      </c>
      <c r="N107" s="298" t="str">
        <f t="shared" si="14"/>
        <v/>
      </c>
      <c r="O107" s="446">
        <f t="shared" si="15"/>
        <v>0.35859414261160716</v>
      </c>
      <c r="P107" s="68"/>
    </row>
    <row r="108" spans="1:16">
      <c r="A108" s="34" t="s">
        <v>950</v>
      </c>
      <c r="B108" s="161" t="s">
        <v>967</v>
      </c>
      <c r="C108" s="34" t="s">
        <v>182</v>
      </c>
      <c r="D108" s="40" t="s">
        <v>88</v>
      </c>
      <c r="E108" s="237">
        <f t="shared" ref="E108:E111" si="16">D166</f>
        <v>0</v>
      </c>
      <c r="F108" s="168">
        <v>1</v>
      </c>
      <c r="G108" s="34" t="s">
        <v>962</v>
      </c>
      <c r="H108" s="249"/>
      <c r="I108" s="10">
        <v>1</v>
      </c>
      <c r="J108" s="66">
        <v>2</v>
      </c>
      <c r="K108" s="10">
        <v>1</v>
      </c>
      <c r="L108" s="10">
        <v>1</v>
      </c>
      <c r="M108" s="293">
        <v>2</v>
      </c>
      <c r="N108" s="298" t="str">
        <f t="shared" si="14"/>
        <v/>
      </c>
      <c r="O108" s="446">
        <f t="shared" si="15"/>
        <v>0.35859414261160716</v>
      </c>
      <c r="P108" s="68"/>
    </row>
    <row r="109" spans="1:16">
      <c r="A109" s="34" t="s">
        <v>950</v>
      </c>
      <c r="B109" s="161" t="s">
        <v>967</v>
      </c>
      <c r="C109" s="34" t="s">
        <v>182</v>
      </c>
      <c r="D109" s="40" t="s">
        <v>87</v>
      </c>
      <c r="E109" s="237">
        <f t="shared" si="16"/>
        <v>0</v>
      </c>
      <c r="F109" s="168">
        <v>1</v>
      </c>
      <c r="G109" s="34" t="s">
        <v>962</v>
      </c>
      <c r="H109" s="249"/>
      <c r="I109" s="10">
        <v>1</v>
      </c>
      <c r="J109" s="66">
        <v>2</v>
      </c>
      <c r="K109" s="10">
        <v>1</v>
      </c>
      <c r="L109" s="10">
        <v>1</v>
      </c>
      <c r="M109" s="293">
        <v>2</v>
      </c>
      <c r="N109" s="298" t="str">
        <f t="shared" si="14"/>
        <v/>
      </c>
      <c r="O109" s="446">
        <f t="shared" si="15"/>
        <v>0.35859414261160716</v>
      </c>
      <c r="P109" s="68"/>
    </row>
    <row r="110" spans="1:16">
      <c r="A110" s="34" t="s">
        <v>950</v>
      </c>
      <c r="B110" s="161" t="s">
        <v>967</v>
      </c>
      <c r="C110" s="34" t="s">
        <v>182</v>
      </c>
      <c r="D110" s="40" t="s">
        <v>85</v>
      </c>
      <c r="E110" s="237">
        <f t="shared" si="16"/>
        <v>0.68011265147296251</v>
      </c>
      <c r="F110" s="168">
        <v>1</v>
      </c>
      <c r="G110" s="34" t="s">
        <v>962</v>
      </c>
      <c r="H110" s="249"/>
      <c r="I110" s="10">
        <v>1</v>
      </c>
      <c r="J110" s="10">
        <v>2</v>
      </c>
      <c r="K110" s="10">
        <v>1</v>
      </c>
      <c r="L110" s="10">
        <v>1</v>
      </c>
      <c r="M110" s="293">
        <v>2</v>
      </c>
      <c r="N110" s="298" t="str">
        <f t="shared" si="14"/>
        <v/>
      </c>
      <c r="O110" s="446">
        <f t="shared" si="15"/>
        <v>0.35859414261160716</v>
      </c>
      <c r="P110" s="68"/>
    </row>
    <row r="111" spans="1:16" ht="15" thickBot="1">
      <c r="A111" s="35" t="s">
        <v>950</v>
      </c>
      <c r="B111" s="161" t="s">
        <v>967</v>
      </c>
      <c r="C111" s="35" t="s">
        <v>182</v>
      </c>
      <c r="D111" s="153" t="s">
        <v>86</v>
      </c>
      <c r="E111" s="237">
        <f t="shared" si="16"/>
        <v>0</v>
      </c>
      <c r="F111" s="170">
        <v>1</v>
      </c>
      <c r="G111" s="149" t="s">
        <v>962</v>
      </c>
      <c r="H111" s="248"/>
      <c r="I111" s="10">
        <v>1</v>
      </c>
      <c r="J111" s="10">
        <v>2</v>
      </c>
      <c r="K111" s="10">
        <v>1</v>
      </c>
      <c r="L111" s="10">
        <v>1</v>
      </c>
      <c r="M111" s="293">
        <v>2</v>
      </c>
      <c r="N111" s="298" t="str">
        <f t="shared" si="14"/>
        <v/>
      </c>
      <c r="O111" s="446">
        <f t="shared" si="15"/>
        <v>0.35859414261160716</v>
      </c>
      <c r="P111" s="68"/>
    </row>
    <row r="112" spans="1:16">
      <c r="A112" s="33" t="s">
        <v>967</v>
      </c>
      <c r="B112" s="319" t="str">
        <f>B236</f>
        <v>Dumping</v>
      </c>
      <c r="C112" s="95" t="str">
        <f>C236</f>
        <v>any</v>
      </c>
      <c r="D112" s="319" t="str">
        <f>D236</f>
        <v>any</v>
      </c>
      <c r="E112" s="450">
        <f>E236</f>
        <v>2.7E-4</v>
      </c>
      <c r="F112" s="453">
        <f>F236</f>
        <v>2</v>
      </c>
      <c r="G112" s="33" t="s">
        <v>968</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967</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967</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969</v>
      </c>
    </row>
    <row r="115" spans="1:32">
      <c r="A115" s="34" t="s">
        <v>967</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967</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 thickBot="1">
      <c r="A117" s="149" t="s">
        <v>967</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968</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 thickBot="1">
      <c r="A123" s="323" t="str">
        <f t="shared" si="22"/>
        <v>Agricultural other</v>
      </c>
      <c r="B123" s="322" t="str">
        <f t="shared" si="19"/>
        <v>Collected organic waste</v>
      </c>
      <c r="C123" s="323" t="str">
        <f t="shared" si="19"/>
        <v>any</v>
      </c>
      <c r="D123" s="322" t="str">
        <f t="shared" si="19"/>
        <v>any</v>
      </c>
      <c r="E123" s="871">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965</v>
      </c>
      <c r="B124" s="95" t="str">
        <f t="shared" ref="B124:D127" si="23">B250</f>
        <v>Agricultural soil (micro)</v>
      </c>
      <c r="C124" s="99" t="str">
        <f t="shared" si="23"/>
        <v>any</v>
      </c>
      <c r="D124" s="319" t="str">
        <f t="shared" si="23"/>
        <v>any</v>
      </c>
      <c r="E124" s="870"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969</v>
      </c>
      <c r="X124" s="223"/>
      <c r="Y124" s="223"/>
      <c r="AA124" s="223"/>
      <c r="AB124" s="223"/>
      <c r="AC124" s="218"/>
      <c r="AD124" s="218"/>
      <c r="AE124" s="223"/>
      <c r="AF124" s="218"/>
    </row>
    <row r="125" spans="1:32">
      <c r="A125" s="151" t="s">
        <v>965</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970</v>
      </c>
      <c r="X125" s="223"/>
      <c r="Y125" s="223"/>
      <c r="AA125" s="223"/>
      <c r="AB125" s="223"/>
      <c r="AC125" s="218"/>
      <c r="AD125" s="218"/>
      <c r="AE125" s="223"/>
      <c r="AF125" s="218"/>
    </row>
    <row r="126" spans="1:32">
      <c r="A126" s="151" t="s">
        <v>965</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970</v>
      </c>
      <c r="X126" s="223"/>
      <c r="Y126" s="223"/>
      <c r="AA126" s="223"/>
      <c r="AB126" s="223"/>
      <c r="AC126" s="218"/>
      <c r="AD126" s="218"/>
      <c r="AE126" s="223"/>
      <c r="AF126" s="218"/>
    </row>
    <row r="127" spans="1:32" ht="15" thickBot="1">
      <c r="A127" s="227" t="s">
        <v>965</v>
      </c>
      <c r="B127" s="68" t="str">
        <f t="shared" si="23"/>
        <v>Collected organic waste</v>
      </c>
      <c r="C127" s="326" t="str">
        <f t="shared" si="23"/>
        <v>any</v>
      </c>
      <c r="D127" s="322" t="str">
        <f t="shared" si="23"/>
        <v>any</v>
      </c>
      <c r="E127" s="871">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970</v>
      </c>
      <c r="X127" s="223"/>
      <c r="Y127" s="223"/>
      <c r="AA127" s="223"/>
      <c r="AB127" s="223"/>
      <c r="AC127" s="218"/>
      <c r="AD127" s="218"/>
      <c r="AE127" s="223"/>
      <c r="AF127" s="218"/>
    </row>
    <row r="128" spans="1:32">
      <c r="A128" s="161" t="s">
        <v>964</v>
      </c>
      <c r="B128" s="68" t="str">
        <f t="shared" ref="B128:D131" si="24">B238</f>
        <v>Agricultural soil (micro)</v>
      </c>
      <c r="C128" s="99" t="str">
        <f t="shared" si="24"/>
        <v>any</v>
      </c>
      <c r="D128" s="319" t="str">
        <f t="shared" si="24"/>
        <v>any</v>
      </c>
      <c r="E128" s="870"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964</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970</v>
      </c>
      <c r="X129" s="223"/>
      <c r="Y129" s="223"/>
      <c r="AA129" s="223"/>
      <c r="AB129" s="223"/>
      <c r="AC129" s="218"/>
      <c r="AD129" s="218"/>
      <c r="AE129" s="223"/>
      <c r="AF129" s="218"/>
    </row>
    <row r="130" spans="1:32">
      <c r="A130" s="161" t="s">
        <v>964</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970</v>
      </c>
      <c r="X130" s="223"/>
      <c r="Y130" s="223"/>
      <c r="AA130" s="223"/>
      <c r="AB130" s="223"/>
      <c r="AC130" s="218"/>
      <c r="AD130" s="218"/>
      <c r="AE130" s="223"/>
      <c r="AF130" s="218"/>
    </row>
    <row r="131" spans="1:32" ht="15" thickBot="1">
      <c r="A131" s="161" t="s">
        <v>964</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970</v>
      </c>
      <c r="X131" s="223"/>
      <c r="Y131" s="223"/>
      <c r="AA131" s="223"/>
      <c r="AB131" s="223"/>
      <c r="AC131" s="218"/>
      <c r="AD131" s="218"/>
      <c r="AE131" s="223"/>
      <c r="AF131" s="218"/>
    </row>
    <row r="132" spans="1:32">
      <c r="A132" s="150" t="s">
        <v>960</v>
      </c>
      <c r="B132" s="95" t="str">
        <f t="shared" ref="B132:D133" si="26">B248</f>
        <v>Dumping</v>
      </c>
      <c r="C132" s="99" t="str">
        <f t="shared" si="26"/>
        <v>any</v>
      </c>
      <c r="D132" s="319" t="str">
        <f t="shared" si="26"/>
        <v>any</v>
      </c>
      <c r="E132" s="95">
        <f>E248/SUM(E249,E248)</f>
        <v>2.9157667386609074E-4</v>
      </c>
      <c r="F132" s="319">
        <v>2</v>
      </c>
      <c r="G132" s="33" t="s">
        <v>968</v>
      </c>
      <c r="H132" s="250">
        <v>2</v>
      </c>
      <c r="I132" s="13">
        <v>2</v>
      </c>
      <c r="J132" s="13">
        <v>1</v>
      </c>
      <c r="K132" s="13">
        <v>3</v>
      </c>
      <c r="L132" s="13">
        <v>3</v>
      </c>
      <c r="M132" s="292">
        <v>3</v>
      </c>
      <c r="N132" s="297">
        <f t="shared" si="17"/>
        <v>1.123005955058592</v>
      </c>
      <c r="O132" s="446">
        <f t="shared" si="18"/>
        <v>1.123005955058592</v>
      </c>
      <c r="P132" s="68" t="s">
        <v>970</v>
      </c>
      <c r="X132" s="223"/>
      <c r="Y132" s="223"/>
      <c r="AA132" s="223"/>
      <c r="AB132" s="223"/>
      <c r="AC132" s="218"/>
      <c r="AD132" s="218"/>
      <c r="AE132" s="223"/>
      <c r="AF132" s="218"/>
    </row>
    <row r="133" spans="1:32" ht="15" thickBot="1">
      <c r="A133" s="227" t="s">
        <v>960</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966</v>
      </c>
      <c r="B134" s="68" t="str">
        <f t="shared" ref="B134:D135" si="27">B236</f>
        <v>Dumping</v>
      </c>
      <c r="C134" s="99" t="str">
        <f t="shared" si="27"/>
        <v>any</v>
      </c>
      <c r="D134" s="319" t="str">
        <f t="shared" si="27"/>
        <v>any</v>
      </c>
      <c r="E134" s="95">
        <f>E236/(E236+E237)</f>
        <v>2.9735682819383261E-4</v>
      </c>
      <c r="F134" s="319">
        <v>2</v>
      </c>
      <c r="G134" s="33" t="s">
        <v>968</v>
      </c>
      <c r="H134" s="250">
        <v>2</v>
      </c>
      <c r="I134" s="13">
        <v>2</v>
      </c>
      <c r="J134" s="13">
        <v>1</v>
      </c>
      <c r="K134" s="13">
        <v>3</v>
      </c>
      <c r="L134" s="13">
        <v>3</v>
      </c>
      <c r="M134" s="292">
        <v>3</v>
      </c>
      <c r="N134" s="297">
        <f t="shared" si="17"/>
        <v>1.123005955058592</v>
      </c>
      <c r="O134" s="446">
        <f t="shared" si="18"/>
        <v>1.123005955058592</v>
      </c>
      <c r="P134" s="68" t="s">
        <v>970</v>
      </c>
      <c r="X134" s="223"/>
      <c r="Y134" s="223"/>
      <c r="AA134" s="223"/>
      <c r="AB134" s="223"/>
      <c r="AC134" s="218"/>
      <c r="AD134" s="218"/>
      <c r="AE134" s="223"/>
      <c r="AF134" s="218"/>
    </row>
    <row r="135" spans="1:32" ht="15" thickBot="1">
      <c r="A135" s="7" t="s">
        <v>966</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5.8">
      <c r="A151" s="469" t="s">
        <v>21</v>
      </c>
    </row>
    <row r="152" spans="1:24">
      <c r="B152" s="222"/>
    </row>
    <row r="153" spans="1:24">
      <c r="A153" s="311" t="s">
        <v>971</v>
      </c>
      <c r="B153" s="311" t="s">
        <v>972</v>
      </c>
      <c r="C153" s="311" t="s">
        <v>104</v>
      </c>
      <c r="D153" s="311" t="s">
        <v>973</v>
      </c>
      <c r="E153" s="507" t="s">
        <v>974</v>
      </c>
    </row>
    <row r="154" spans="1:24">
      <c r="A154" s="475" t="s">
        <v>975</v>
      </c>
      <c r="B154" s="477">
        <v>80</v>
      </c>
      <c r="C154" s="508" t="s">
        <v>976</v>
      </c>
      <c r="D154" t="s">
        <v>977</v>
      </c>
      <c r="E154" t="s">
        <v>978</v>
      </c>
    </row>
    <row r="155" spans="1:24">
      <c r="A155" s="475" t="s">
        <v>979</v>
      </c>
      <c r="B155" s="477">
        <v>80</v>
      </c>
      <c r="C155" s="508" t="s">
        <v>976</v>
      </c>
      <c r="D155" t="s">
        <v>977</v>
      </c>
      <c r="E155" t="s">
        <v>978</v>
      </c>
    </row>
    <row r="156" spans="1:24">
      <c r="A156" s="475" t="s">
        <v>980</v>
      </c>
      <c r="B156" s="485">
        <f>45/12</f>
        <v>3.75</v>
      </c>
      <c r="C156" s="508" t="s">
        <v>976</v>
      </c>
      <c r="D156" t="s">
        <v>977</v>
      </c>
      <c r="E156" t="s">
        <v>978</v>
      </c>
    </row>
    <row r="157" spans="1:24">
      <c r="A157" s="475" t="s">
        <v>981</v>
      </c>
      <c r="B157" s="485">
        <f>45/12</f>
        <v>3.75</v>
      </c>
      <c r="C157" s="508" t="s">
        <v>976</v>
      </c>
      <c r="D157" t="s">
        <v>977</v>
      </c>
      <c r="E157" t="s">
        <v>978</v>
      </c>
    </row>
    <row r="159" spans="1:24" ht="25.8">
      <c r="A159" s="469" t="s">
        <v>982</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983</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984</v>
      </c>
      <c r="L162" s="223"/>
    </row>
    <row r="163" spans="1:27">
      <c r="J163" s="222" t="s">
        <v>985</v>
      </c>
      <c r="K163" s="468">
        <f>D200</f>
        <v>707810</v>
      </c>
      <c r="L163" s="223"/>
      <c r="N163" s="223"/>
      <c r="Q163" s="217"/>
    </row>
    <row r="164" spans="1:27">
      <c r="A164" s="483" t="s">
        <v>581</v>
      </c>
      <c r="B164" s="481" t="s">
        <v>986</v>
      </c>
      <c r="C164" s="481" t="s">
        <v>987</v>
      </c>
      <c r="D164" s="481" t="s">
        <v>988</v>
      </c>
      <c r="E164" s="481" t="s">
        <v>989</v>
      </c>
      <c r="F164" s="481" t="s">
        <v>990</v>
      </c>
      <c r="G164" s="481" t="s">
        <v>991</v>
      </c>
      <c r="H164" s="481" t="s">
        <v>992</v>
      </c>
      <c r="L164" s="223"/>
      <c r="M164" t="s">
        <v>47</v>
      </c>
      <c r="N164" t="s">
        <v>993</v>
      </c>
      <c r="O164" t="s">
        <v>994</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995</v>
      </c>
      <c r="L165" s="223" t="s">
        <v>996</v>
      </c>
      <c r="N165" s="223" t="s">
        <v>997</v>
      </c>
      <c r="P165" s="224"/>
      <c r="Q165" s="224"/>
      <c r="R165" s="224" t="s">
        <v>998</v>
      </c>
      <c r="S165" s="224"/>
      <c r="T165" s="224" t="s">
        <v>999</v>
      </c>
      <c r="U165" s="224"/>
      <c r="V165" s="224" t="s">
        <v>1000</v>
      </c>
      <c r="W165" s="224"/>
      <c r="X165" s="224" t="s">
        <v>1001</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1002</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1003</v>
      </c>
      <c r="N167" t="s">
        <v>1004</v>
      </c>
      <c r="O167" s="384"/>
      <c r="P167" s="224" t="s">
        <v>1005</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1006</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1007</v>
      </c>
      <c r="N169" t="s">
        <v>1007</v>
      </c>
      <c r="O169" s="384"/>
      <c r="P169" s="224" t="s">
        <v>1008</v>
      </c>
      <c r="Q169" s="224" t="s">
        <v>1009</v>
      </c>
      <c r="R169" s="224" t="s">
        <v>1002</v>
      </c>
      <c r="S169" s="224" t="s">
        <v>1009</v>
      </c>
      <c r="T169" s="224" t="s">
        <v>1010</v>
      </c>
      <c r="U169" s="224" t="s">
        <v>1011</v>
      </c>
      <c r="V169" s="224" t="s">
        <v>127</v>
      </c>
      <c r="W169" s="224" t="s">
        <v>1009</v>
      </c>
      <c r="X169" s="224" t="s">
        <v>1006</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1012</v>
      </c>
      <c r="N171" s="223" t="s">
        <v>1012</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1010</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1013</v>
      </c>
      <c r="N173" t="s">
        <v>1013</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1014</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1015</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1016</v>
      </c>
    </row>
    <row r="181" spans="1:24">
      <c r="K181" t="s">
        <v>984</v>
      </c>
    </row>
    <row r="182" spans="1:24">
      <c r="A182" s="483" t="s">
        <v>581</v>
      </c>
      <c r="B182" s="481" t="s">
        <v>986</v>
      </c>
      <c r="C182" s="481" t="s">
        <v>987</v>
      </c>
      <c r="D182" s="481" t="s">
        <v>988</v>
      </c>
      <c r="E182" s="481" t="s">
        <v>989</v>
      </c>
      <c r="F182" s="481" t="s">
        <v>990</v>
      </c>
      <c r="G182" s="481" t="s">
        <v>991</v>
      </c>
      <c r="H182" s="481" t="s">
        <v>992</v>
      </c>
      <c r="J182" s="222" t="s">
        <v>1017</v>
      </c>
      <c r="K182" s="468">
        <f>D200*C222</f>
        <v>23782.415999999997</v>
      </c>
      <c r="L182" s="218"/>
      <c r="M182" t="s">
        <v>47</v>
      </c>
      <c r="N182" t="s">
        <v>993</v>
      </c>
      <c r="O182" t="s">
        <v>994</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1018</v>
      </c>
      <c r="M183" s="218" t="s">
        <v>1002</v>
      </c>
      <c r="N183" t="s">
        <v>1002</v>
      </c>
      <c r="P183" s="224"/>
      <c r="Q183" s="224"/>
      <c r="R183" s="224" t="s">
        <v>998</v>
      </c>
      <c r="S183" s="224"/>
      <c r="T183" s="224" t="s">
        <v>999</v>
      </c>
      <c r="U183" s="224"/>
      <c r="V183" s="224" t="s">
        <v>1000</v>
      </c>
      <c r="W183" s="224"/>
      <c r="X183" s="224" t="s">
        <v>1001</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1006</v>
      </c>
      <c r="N185" t="s">
        <v>1004</v>
      </c>
      <c r="O185" s="384"/>
      <c r="P185" s="224" t="s">
        <v>1005</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57.6">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1019</v>
      </c>
      <c r="O187" s="384"/>
      <c r="P187" s="224" t="s">
        <v>1008</v>
      </c>
      <c r="Q187" s="224" t="s">
        <v>1009</v>
      </c>
      <c r="R187" s="488" t="s">
        <v>1002</v>
      </c>
      <c r="S187" s="224" t="s">
        <v>1009</v>
      </c>
      <c r="T187" s="488" t="s">
        <v>1010</v>
      </c>
      <c r="U187" s="224" t="s">
        <v>1011</v>
      </c>
      <c r="V187" s="488" t="s">
        <v>127</v>
      </c>
      <c r="W187" s="224" t="s">
        <v>1009</v>
      </c>
      <c r="X187" s="488" t="s">
        <v>1006</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1020</v>
      </c>
      <c r="N189" t="s">
        <v>1010</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1014</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1021</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522</v>
      </c>
    </row>
    <row r="199" spans="1:25">
      <c r="A199" s="311" t="s">
        <v>1022</v>
      </c>
      <c r="B199" s="311" t="s">
        <v>1023</v>
      </c>
      <c r="C199" s="311" t="s">
        <v>101</v>
      </c>
      <c r="D199" s="311" t="s">
        <v>1024</v>
      </c>
      <c r="E199" s="311" t="s">
        <v>104</v>
      </c>
    </row>
    <row r="200" spans="1:25">
      <c r="A200" s="475" t="s">
        <v>182</v>
      </c>
      <c r="B200" s="224" t="s">
        <v>1025</v>
      </c>
      <c r="C200" s="224">
        <v>2018</v>
      </c>
      <c r="D200" s="224">
        <v>707810</v>
      </c>
      <c r="E200" s="224" t="s">
        <v>1026</v>
      </c>
    </row>
    <row r="201" spans="1:25">
      <c r="A201" s="475" t="s">
        <v>182</v>
      </c>
      <c r="B201" s="224" t="s">
        <v>1027</v>
      </c>
      <c r="C201" s="224">
        <v>2018</v>
      </c>
      <c r="D201" s="224">
        <v>310960</v>
      </c>
      <c r="E201" s="224" t="s">
        <v>1026</v>
      </c>
    </row>
    <row r="202" spans="1:25">
      <c r="A202" s="475" t="s">
        <v>182</v>
      </c>
      <c r="B202" s="224" t="s">
        <v>1028</v>
      </c>
      <c r="C202" s="224">
        <v>2018</v>
      </c>
      <c r="D202" s="224">
        <v>396850</v>
      </c>
      <c r="E202" s="224" t="s">
        <v>1026</v>
      </c>
    </row>
    <row r="203" spans="1:25">
      <c r="A203" s="475" t="s">
        <v>182</v>
      </c>
      <c r="B203" s="224" t="s">
        <v>1025</v>
      </c>
      <c r="C203" s="224">
        <v>2019</v>
      </c>
      <c r="D203" s="224">
        <v>710500</v>
      </c>
      <c r="E203" s="224" t="s">
        <v>1026</v>
      </c>
    </row>
    <row r="204" spans="1:25">
      <c r="A204" s="475" t="s">
        <v>182</v>
      </c>
      <c r="B204" s="224" t="s">
        <v>1027</v>
      </c>
      <c r="C204" s="224">
        <v>2019</v>
      </c>
      <c r="D204" s="224">
        <v>324500</v>
      </c>
      <c r="E204" s="224" t="s">
        <v>1026</v>
      </c>
    </row>
    <row r="205" spans="1:25">
      <c r="A205" s="475" t="s">
        <v>182</v>
      </c>
      <c r="B205" s="224" t="s">
        <v>1028</v>
      </c>
      <c r="C205" s="224">
        <v>2019</v>
      </c>
      <c r="D205" s="224">
        <v>397000</v>
      </c>
      <c r="E205" s="224" t="s">
        <v>1026</v>
      </c>
    </row>
    <row r="207" spans="1:25">
      <c r="A207" t="s">
        <v>1029</v>
      </c>
    </row>
    <row r="208" spans="1:25">
      <c r="A208" s="474" t="s">
        <v>47</v>
      </c>
      <c r="B208" s="474" t="s">
        <v>1022</v>
      </c>
      <c r="C208" s="474" t="s">
        <v>1030</v>
      </c>
      <c r="D208" s="474" t="s">
        <v>104</v>
      </c>
    </row>
    <row r="209" spans="1:4">
      <c r="A209" s="475" t="s">
        <v>1031</v>
      </c>
      <c r="B209" s="477" t="s">
        <v>182</v>
      </c>
      <c r="C209" s="486">
        <v>0.63</v>
      </c>
      <c r="D209" s="224" t="s">
        <v>1032</v>
      </c>
    </row>
    <row r="210" spans="1:4">
      <c r="A210" s="475" t="s">
        <v>1006</v>
      </c>
      <c r="B210" s="477" t="s">
        <v>182</v>
      </c>
      <c r="C210" s="486">
        <v>0.16</v>
      </c>
      <c r="D210" s="224" t="s">
        <v>1032</v>
      </c>
    </row>
    <row r="211" spans="1:4">
      <c r="A211" s="475" t="s">
        <v>1007</v>
      </c>
      <c r="B211" s="477" t="s">
        <v>182</v>
      </c>
      <c r="C211" s="486">
        <v>0.11</v>
      </c>
      <c r="D211" s="224" t="s">
        <v>1032</v>
      </c>
    </row>
    <row r="212" spans="1:4">
      <c r="A212" s="475" t="s">
        <v>1012</v>
      </c>
      <c r="B212" s="477" t="s">
        <v>182</v>
      </c>
      <c r="C212" s="486">
        <v>0.06</v>
      </c>
      <c r="D212" s="224" t="s">
        <v>1032</v>
      </c>
    </row>
    <row r="213" spans="1:4">
      <c r="A213" s="475" t="s">
        <v>1013</v>
      </c>
      <c r="B213" s="477" t="s">
        <v>182</v>
      </c>
      <c r="C213" s="486">
        <v>0.01</v>
      </c>
      <c r="D213" s="224" t="s">
        <v>1032</v>
      </c>
    </row>
    <row r="214" spans="1:4">
      <c r="A214" s="475" t="s">
        <v>127</v>
      </c>
      <c r="B214" s="477" t="s">
        <v>182</v>
      </c>
      <c r="C214" s="487">
        <f>1-SUM(C209:C213)</f>
        <v>3.0000000000000027E-2</v>
      </c>
      <c r="D214" s="224" t="s">
        <v>1032</v>
      </c>
    </row>
    <row r="215" spans="1:4">
      <c r="A215" s="475" t="s">
        <v>1018</v>
      </c>
      <c r="B215" s="477" t="s">
        <v>180</v>
      </c>
      <c r="C215" s="486">
        <v>0.67</v>
      </c>
      <c r="D215" s="224" t="s">
        <v>1033</v>
      </c>
    </row>
    <row r="216" spans="1:4">
      <c r="A216" s="475" t="s">
        <v>127</v>
      </c>
      <c r="B216" s="477" t="s">
        <v>180</v>
      </c>
      <c r="C216" s="486">
        <v>0.15</v>
      </c>
      <c r="D216" s="224" t="s">
        <v>1033</v>
      </c>
    </row>
    <row r="217" spans="1:4">
      <c r="A217" s="475" t="s">
        <v>1010</v>
      </c>
      <c r="B217" s="477" t="s">
        <v>180</v>
      </c>
      <c r="C217" s="486">
        <v>0.18</v>
      </c>
      <c r="D217" s="224" t="s">
        <v>1033</v>
      </c>
    </row>
    <row r="219" spans="1:4">
      <c r="A219" t="s">
        <v>1034</v>
      </c>
    </row>
    <row r="220" spans="1:4">
      <c r="A220" s="311" t="s">
        <v>1035</v>
      </c>
      <c r="B220" s="311" t="s">
        <v>101</v>
      </c>
      <c r="C220" s="476" t="s">
        <v>1024</v>
      </c>
      <c r="D220" s="311" t="s">
        <v>104</v>
      </c>
    </row>
    <row r="221" spans="1:4">
      <c r="A221" s="475" t="s">
        <v>1036</v>
      </c>
      <c r="B221" s="477">
        <v>2022</v>
      </c>
      <c r="C221" s="479">
        <f>84/1947</f>
        <v>4.3143297380585519E-2</v>
      </c>
      <c r="D221" s="477" t="s">
        <v>1037</v>
      </c>
    </row>
    <row r="222" spans="1:4">
      <c r="A222" s="475" t="s">
        <v>1038</v>
      </c>
      <c r="B222" s="477">
        <v>2022</v>
      </c>
      <c r="C222" s="478">
        <f>84/2500</f>
        <v>3.3599999999999998E-2</v>
      </c>
      <c r="D222" s="477" t="s">
        <v>1037</v>
      </c>
    </row>
    <row r="223" spans="1:4">
      <c r="A223" s="475" t="s">
        <v>1039</v>
      </c>
      <c r="B223" s="477">
        <v>2022</v>
      </c>
      <c r="C223" s="478">
        <f>1947/53300</f>
        <v>3.652908067542214E-2</v>
      </c>
      <c r="D223" s="477" t="s">
        <v>1037</v>
      </c>
    </row>
    <row r="224" spans="1:4">
      <c r="A224" s="475" t="s">
        <v>1040</v>
      </c>
      <c r="B224" s="477">
        <v>2022</v>
      </c>
      <c r="C224" s="480">
        <f>Intentionally_produced_MPs!D64/Intentionally_produced_MPs!D63</f>
        <v>6.7122772807787931E-2</v>
      </c>
      <c r="D224" s="613" t="s">
        <v>1041</v>
      </c>
    </row>
    <row r="226" spans="1:16">
      <c r="A226" t="s">
        <v>1042</v>
      </c>
    </row>
    <row r="227" spans="1:16">
      <c r="A227" s="311" t="s">
        <v>100</v>
      </c>
      <c r="B227" s="311" t="s">
        <v>1043</v>
      </c>
      <c r="C227" s="311" t="s">
        <v>1044</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1045</v>
      </c>
      <c r="B232" s="311">
        <f>SUM(B228:B231)</f>
        <v>15</v>
      </c>
      <c r="C232" s="311">
        <f>SUM(C228:C231)</f>
        <v>1.006841592116819</v>
      </c>
    </row>
    <row r="234" spans="1:16" ht="15" thickBot="1">
      <c r="A234" s="473" t="s">
        <v>1046</v>
      </c>
      <c r="B234" s="472"/>
      <c r="C234" s="472"/>
      <c r="D234" s="472"/>
      <c r="E234" s="472"/>
      <c r="F234" s="472"/>
      <c r="G234" s="472"/>
      <c r="H234" s="472"/>
      <c r="I234" s="472"/>
      <c r="J234" s="472"/>
      <c r="K234" s="472"/>
      <c r="L234" s="472"/>
      <c r="M234" s="472"/>
      <c r="N234" s="472"/>
      <c r="O234" s="472"/>
      <c r="P234" s="472"/>
    </row>
    <row r="235" spans="1:16" ht="1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 thickBot="1">
      <c r="A236" s="150" t="s">
        <v>1047</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 thickBot="1">
      <c r="A237" s="151" t="s">
        <v>1047</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 thickBot="1">
      <c r="A238" s="151" t="s">
        <v>1047</v>
      </c>
      <c r="B238" s="151" t="s">
        <v>155</v>
      </c>
      <c r="C238" s="151" t="s">
        <v>139</v>
      </c>
      <c r="D238" s="151" t="s">
        <v>139</v>
      </c>
      <c r="E238" s="664">
        <v>0.02</v>
      </c>
      <c r="F238" s="171">
        <v>2</v>
      </c>
      <c r="G238" s="151" t="s">
        <v>1048</v>
      </c>
      <c r="H238" s="249">
        <v>1</v>
      </c>
      <c r="I238" s="10"/>
      <c r="J238" s="10">
        <v>1</v>
      </c>
      <c r="K238" s="10">
        <v>1</v>
      </c>
      <c r="L238" s="10">
        <v>1</v>
      </c>
      <c r="M238" s="318">
        <v>3</v>
      </c>
      <c r="N238" s="405">
        <v>1.0141150152164344</v>
      </c>
      <c r="O238" s="350" t="s">
        <v>249</v>
      </c>
      <c r="P238" s="34" t="s">
        <v>969</v>
      </c>
    </row>
    <row r="239" spans="1:16" ht="15" thickBot="1">
      <c r="A239" s="151" t="s">
        <v>1047</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 thickBot="1">
      <c r="A240" s="151" t="s">
        <v>1047</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 thickBot="1">
      <c r="A241" s="340" t="s">
        <v>1047</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 thickBot="1">
      <c r="A242" s="230" t="s">
        <v>963</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 thickBot="1">
      <c r="A243" s="151" t="s">
        <v>963</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 thickBot="1">
      <c r="A244" s="151" t="s">
        <v>963</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 thickBot="1">
      <c r="A245" s="151" t="s">
        <v>963</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 thickBot="1">
      <c r="A246" s="227" t="s">
        <v>963</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 thickBot="1">
      <c r="A247" s="340" t="s">
        <v>963</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 thickBot="1">
      <c r="A248" s="150" t="s">
        <v>1049</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 thickBot="1">
      <c r="A249" s="151" t="s">
        <v>1049</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 thickBot="1">
      <c r="A250" s="151" t="s">
        <v>1049</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 thickBot="1">
      <c r="A251" s="151" t="s">
        <v>1049</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 thickBot="1">
      <c r="A252" s="151" t="s">
        <v>1049</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 thickBot="1">
      <c r="A253" s="340" t="s">
        <v>1049</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5" priority="40" operator="equal">
      <formula>1</formula>
    </cfRule>
    <cfRule type="cellIs" dxfId="74" priority="41" operator="equal">
      <formula>0</formula>
    </cfRule>
    <cfRule type="containsText" dxfId="73" priority="42" operator="containsText" text="rest">
      <formula>NOT(ISERROR(SEARCH("rest",E235)))</formula>
    </cfRule>
  </conditionalFormatting>
  <conditionalFormatting sqref="G9:K18">
    <cfRule type="dataBar" priority="131">
      <dataBar>
        <cfvo type="min"/>
        <cfvo type="num" val="4"/>
        <color rgb="FFFFC000"/>
      </dataBar>
      <extLst>
        <ext xmlns:x14="http://schemas.microsoft.com/office/spreadsheetml/2009/9/main" uri="{B025F937-C7B1-47D3-B67F-A62EFF666E3E}">
          <x14:id>{62E9FF6B-7CF9-48F4-8540-C7B62384D8C1}</x14:id>
        </ext>
      </extLst>
    </cfRule>
    <cfRule type="cellIs" dxfId="72" priority="130" stopIfTrue="1" operator="notBetween">
      <formula>1</formula>
      <formula>4</formula>
    </cfRule>
  </conditionalFormatting>
  <conditionalFormatting sqref="G29:K48">
    <cfRule type="dataBar" priority="6341">
      <dataBar>
        <cfvo type="min"/>
        <cfvo type="num" val="4"/>
        <color rgb="FFFFC000"/>
      </dataBar>
      <extLst>
        <ext xmlns:x14="http://schemas.microsoft.com/office/spreadsheetml/2009/9/main" uri="{B025F937-C7B1-47D3-B67F-A62EFF666E3E}">
          <x14:id>{38BB98F9-DAB9-4A34-A762-F3BDC089FF97}</x14:id>
        </ext>
      </extLst>
    </cfRule>
    <cfRule type="cellIs" dxfId="71" priority="175" stopIfTrue="1" operator="notBetween">
      <formula>1</formula>
      <formula>4</formula>
    </cfRule>
  </conditionalFormatting>
  <conditionalFormatting sqref="G9:L18">
    <cfRule type="containsBlanks" dxfId="70"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9"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8"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7" priority="1">
      <formula>LEN(TRIM(H52))=0</formula>
    </cfRule>
  </conditionalFormatting>
  <conditionalFormatting sqref="H236:O253">
    <cfRule type="containsBlanks" dxfId="66"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5"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4"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3" priority="79" operator="containsText" text="Actual TC">
      <formula>NOT(ISERROR(SEARCH("Actual TC",P114)))</formula>
    </cfRule>
  </conditionalFormatting>
  <conditionalFormatting sqref="P118:P149">
    <cfRule type="containsText" dxfId="62" priority="50" operator="containsText" text="Actual TC">
      <formula>NOT(ISERROR(SEARCH("Actual TC",P118)))</formula>
    </cfRule>
  </conditionalFormatting>
  <conditionalFormatting sqref="P236:P253">
    <cfRule type="containsText" dxfId="61"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1" zoomScale="85" zoomScaleNormal="85" workbookViewId="0">
      <selection activeCell="C146" sqref="C146"/>
    </sheetView>
  </sheetViews>
  <sheetFormatPr defaultColWidth="8.88671875" defaultRowHeight="14.4"/>
  <cols>
    <col min="1" max="1" width="50.6640625" style="6" customWidth="1"/>
    <col min="2" max="2" width="24.109375" style="6" customWidth="1"/>
    <col min="3" max="32" width="20.6640625" style="6" customWidth="1"/>
    <col min="33" max="16384" width="8.88671875" style="6"/>
  </cols>
  <sheetData>
    <row r="1" spans="1:32" ht="30" customHeight="1">
      <c r="A1" s="1100" t="s">
        <v>795</v>
      </c>
      <c r="B1" s="1100"/>
      <c r="C1" s="1100"/>
      <c r="D1" s="1100"/>
      <c r="E1" s="1100"/>
      <c r="F1" s="1100"/>
      <c r="G1" s="1100"/>
      <c r="H1" s="1100"/>
      <c r="I1" s="1100"/>
      <c r="J1" s="1100"/>
      <c r="K1" s="1100"/>
      <c r="L1" s="1100"/>
      <c r="M1" s="1100"/>
      <c r="N1" s="1100"/>
      <c r="O1" s="1100"/>
      <c r="P1" s="1100"/>
      <c r="Q1" s="1100"/>
      <c r="R1" s="1100"/>
      <c r="S1" s="1100"/>
      <c r="T1" s="1100"/>
      <c r="U1" s="1100"/>
      <c r="V1" s="1100"/>
      <c r="W1" s="1100"/>
      <c r="X1" s="1100"/>
      <c r="Y1" s="1100"/>
      <c r="Z1" s="1100"/>
      <c r="AA1" s="1100"/>
      <c r="AB1" s="1100"/>
      <c r="AC1" s="1100"/>
      <c r="AD1" s="1100"/>
      <c r="AE1" s="1100"/>
      <c r="AF1" s="1100"/>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117" t="s">
        <v>123</v>
      </c>
      <c r="S2" s="1117"/>
      <c r="T2" s="1117"/>
      <c r="U2" s="1088" t="s">
        <v>104</v>
      </c>
      <c r="V2" s="1088"/>
      <c r="W2" s="1088"/>
      <c r="X2" s="1088"/>
      <c r="Y2" s="1088"/>
      <c r="Z2" s="1088"/>
      <c r="AA2" s="1088"/>
      <c r="AB2" s="1088"/>
      <c r="AC2" s="1088"/>
      <c r="AD2" s="1088"/>
      <c r="AE2" s="1088"/>
      <c r="AF2" s="1088"/>
    </row>
    <row r="3" spans="1:32" s="7" customFormat="1">
      <c r="A3" s="143" t="s">
        <v>1050</v>
      </c>
      <c r="B3" s="9" t="s">
        <v>880</v>
      </c>
      <c r="C3" s="9" t="s">
        <v>880</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161" t="s">
        <v>1051</v>
      </c>
      <c r="S3" s="1161"/>
      <c r="T3" s="1161"/>
      <c r="U3" s="1164" t="s">
        <v>1052</v>
      </c>
      <c r="V3" s="1166"/>
      <c r="W3" s="1164" t="s">
        <v>1053</v>
      </c>
      <c r="X3" s="1165"/>
      <c r="Y3" s="1165"/>
      <c r="Z3" s="1165"/>
      <c r="AA3" s="1165"/>
      <c r="AB3" s="1165"/>
      <c r="AC3" s="1165"/>
      <c r="AD3" s="1165"/>
      <c r="AE3" s="1165"/>
      <c r="AF3" s="1166"/>
    </row>
    <row r="4" spans="1:32" s="7" customFormat="1">
      <c r="A4" s="143" t="s">
        <v>227</v>
      </c>
      <c r="B4" s="9" t="s">
        <v>880</v>
      </c>
      <c r="C4" s="9" t="s">
        <v>880</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61" t="s">
        <v>1051</v>
      </c>
      <c r="S4" s="1161"/>
      <c r="T4" s="1161"/>
      <c r="U4" s="1167" t="s">
        <v>1054</v>
      </c>
      <c r="V4" s="1163"/>
      <c r="W4" s="1164" t="s">
        <v>1053</v>
      </c>
      <c r="X4" s="1165"/>
      <c r="Y4" s="1165"/>
      <c r="Z4" s="1165"/>
      <c r="AA4" s="1165"/>
      <c r="AB4" s="1165"/>
      <c r="AC4" s="1165"/>
      <c r="AD4" s="1165"/>
      <c r="AE4" s="1165"/>
      <c r="AF4" s="1166"/>
    </row>
    <row r="5" spans="1:32" s="7" customFormat="1">
      <c r="A5" s="143" t="s">
        <v>156</v>
      </c>
      <c r="B5" s="9" t="s">
        <v>880</v>
      </c>
      <c r="C5" s="9" t="s">
        <v>880</v>
      </c>
      <c r="D5" s="188">
        <v>1</v>
      </c>
      <c r="E5" s="188">
        <v>1</v>
      </c>
      <c r="F5" s="188">
        <v>1</v>
      </c>
      <c r="G5" s="188">
        <v>0</v>
      </c>
      <c r="H5" s="188">
        <v>0</v>
      </c>
      <c r="I5" s="188">
        <v>1</v>
      </c>
      <c r="J5" s="188">
        <v>0</v>
      </c>
      <c r="K5" s="188">
        <v>0</v>
      </c>
      <c r="L5" s="188">
        <v>1</v>
      </c>
      <c r="M5" s="188">
        <v>0</v>
      </c>
      <c r="N5" s="188">
        <v>1</v>
      </c>
      <c r="O5" s="188">
        <v>0</v>
      </c>
      <c r="P5" s="188">
        <v>1</v>
      </c>
      <c r="Q5" s="188">
        <v>3</v>
      </c>
      <c r="R5" s="1161" t="s">
        <v>1055</v>
      </c>
      <c r="S5" s="1161"/>
      <c r="T5" s="1161"/>
      <c r="U5" s="1162" t="s">
        <v>1056</v>
      </c>
      <c r="V5" s="1163"/>
      <c r="W5" s="1164"/>
      <c r="X5" s="1165"/>
      <c r="Y5" s="1165"/>
      <c r="Z5" s="1165"/>
      <c r="AA5" s="1165"/>
      <c r="AB5" s="1165"/>
      <c r="AC5" s="1165"/>
      <c r="AD5" s="1165"/>
      <c r="AE5" s="1165"/>
      <c r="AF5" s="1166"/>
    </row>
    <row r="6" spans="1:32" s="7" customFormat="1">
      <c r="A6" s="143" t="s">
        <v>159</v>
      </c>
      <c r="B6" s="9" t="s">
        <v>880</v>
      </c>
      <c r="C6" s="9" t="s">
        <v>880</v>
      </c>
      <c r="D6" s="188">
        <v>0</v>
      </c>
      <c r="E6" s="188">
        <v>1</v>
      </c>
      <c r="F6" s="188">
        <v>0</v>
      </c>
      <c r="G6" s="188">
        <v>0</v>
      </c>
      <c r="H6" s="188">
        <v>0</v>
      </c>
      <c r="I6" s="188">
        <v>0</v>
      </c>
      <c r="J6" s="188">
        <v>0</v>
      </c>
      <c r="K6" s="188">
        <v>0</v>
      </c>
      <c r="L6" s="188">
        <v>0</v>
      </c>
      <c r="M6" s="188">
        <v>0</v>
      </c>
      <c r="N6" s="188">
        <v>0</v>
      </c>
      <c r="O6" s="188">
        <v>0</v>
      </c>
      <c r="P6" s="188">
        <v>0</v>
      </c>
      <c r="Q6" s="188">
        <v>0</v>
      </c>
      <c r="R6" s="1161" t="s">
        <v>1055</v>
      </c>
      <c r="S6" s="1161"/>
      <c r="T6" s="1161"/>
      <c r="U6" s="1162" t="s">
        <v>1056</v>
      </c>
      <c r="V6" s="1163"/>
      <c r="W6" s="1164"/>
      <c r="X6" s="1165"/>
      <c r="Y6" s="1165"/>
      <c r="Z6" s="1165"/>
      <c r="AA6" s="1165"/>
      <c r="AB6" s="1165"/>
      <c r="AC6" s="1165"/>
      <c r="AD6" s="1165"/>
      <c r="AE6" s="1165"/>
      <c r="AF6" s="1166"/>
    </row>
    <row r="7" spans="1:32" s="7" customFormat="1">
      <c r="A7" s="143" t="s">
        <v>160</v>
      </c>
      <c r="B7" s="9" t="s">
        <v>880</v>
      </c>
      <c r="C7" s="9" t="s">
        <v>880</v>
      </c>
      <c r="D7" s="188">
        <v>1</v>
      </c>
      <c r="E7" s="188">
        <v>1</v>
      </c>
      <c r="F7" s="188">
        <v>0</v>
      </c>
      <c r="G7" s="188">
        <v>0</v>
      </c>
      <c r="H7" s="188">
        <v>0</v>
      </c>
      <c r="I7" s="188">
        <v>1</v>
      </c>
      <c r="J7" s="188">
        <v>1</v>
      </c>
      <c r="K7" s="188">
        <v>0</v>
      </c>
      <c r="L7" s="188">
        <v>1</v>
      </c>
      <c r="M7" s="188">
        <v>0</v>
      </c>
      <c r="N7" s="188">
        <v>1</v>
      </c>
      <c r="O7" s="188">
        <v>0</v>
      </c>
      <c r="P7" s="188">
        <v>1</v>
      </c>
      <c r="Q7" s="188">
        <v>1</v>
      </c>
      <c r="R7" s="1161" t="s">
        <v>1055</v>
      </c>
      <c r="S7" s="1161"/>
      <c r="T7" s="1161"/>
      <c r="U7" s="1162" t="s">
        <v>1056</v>
      </c>
      <c r="V7" s="1163"/>
      <c r="W7" s="1164"/>
      <c r="X7" s="1165"/>
      <c r="Y7" s="1165"/>
      <c r="Z7" s="1165"/>
      <c r="AA7" s="1165"/>
      <c r="AB7" s="1165"/>
      <c r="AC7" s="1165"/>
      <c r="AD7" s="1165"/>
      <c r="AE7" s="1165"/>
      <c r="AF7" s="1166"/>
    </row>
    <row r="8" spans="1:32" s="7" customFormat="1">
      <c r="A8" s="143" t="s">
        <v>161</v>
      </c>
      <c r="B8" s="9" t="s">
        <v>880</v>
      </c>
      <c r="C8" s="9" t="s">
        <v>880</v>
      </c>
      <c r="D8" s="188">
        <v>1</v>
      </c>
      <c r="E8" s="188">
        <v>1</v>
      </c>
      <c r="F8" s="188">
        <v>0</v>
      </c>
      <c r="G8" s="188">
        <v>0</v>
      </c>
      <c r="H8" s="188">
        <v>0</v>
      </c>
      <c r="I8" s="188">
        <v>1</v>
      </c>
      <c r="J8" s="188">
        <v>1</v>
      </c>
      <c r="K8" s="188">
        <v>0</v>
      </c>
      <c r="L8" s="188">
        <v>1</v>
      </c>
      <c r="M8" s="188">
        <v>0</v>
      </c>
      <c r="N8" s="188">
        <v>1</v>
      </c>
      <c r="O8" s="188">
        <v>0</v>
      </c>
      <c r="P8" s="188">
        <v>1</v>
      </c>
      <c r="Q8" s="188">
        <v>1</v>
      </c>
      <c r="R8" s="1161" t="s">
        <v>1055</v>
      </c>
      <c r="S8" s="1161"/>
      <c r="T8" s="1161"/>
      <c r="U8" s="1162" t="s">
        <v>1056</v>
      </c>
      <c r="V8" s="1163"/>
      <c r="W8" s="1164"/>
      <c r="X8" s="1165"/>
      <c r="Y8" s="1165"/>
      <c r="Z8" s="1165"/>
      <c r="AA8" s="1165"/>
      <c r="AB8" s="1165"/>
      <c r="AC8" s="1165"/>
      <c r="AD8" s="1165"/>
      <c r="AE8" s="1165"/>
      <c r="AF8" s="1166"/>
    </row>
    <row r="9" spans="1:32" s="7" customFormat="1">
      <c r="A9" s="143" t="s">
        <v>313</v>
      </c>
      <c r="B9" s="9" t="s">
        <v>880</v>
      </c>
      <c r="C9" s="9" t="s">
        <v>880</v>
      </c>
      <c r="D9" s="188">
        <v>0</v>
      </c>
      <c r="E9" s="188">
        <v>0</v>
      </c>
      <c r="F9" s="188">
        <v>0</v>
      </c>
      <c r="G9" s="188">
        <v>0</v>
      </c>
      <c r="H9" s="188">
        <v>0</v>
      </c>
      <c r="I9" s="188">
        <v>0</v>
      </c>
      <c r="J9" s="188">
        <v>0</v>
      </c>
      <c r="K9" s="188">
        <v>0</v>
      </c>
      <c r="L9" s="188">
        <v>0</v>
      </c>
      <c r="M9" s="188">
        <v>0</v>
      </c>
      <c r="N9" s="188">
        <v>0</v>
      </c>
      <c r="O9" s="188">
        <v>0</v>
      </c>
      <c r="P9" s="188">
        <v>0</v>
      </c>
      <c r="Q9" s="188">
        <v>1</v>
      </c>
      <c r="R9" s="1161" t="s">
        <v>1055</v>
      </c>
      <c r="S9" s="1161"/>
      <c r="T9" s="1161"/>
      <c r="U9" s="1162" t="s">
        <v>1056</v>
      </c>
      <c r="V9" s="1163"/>
      <c r="W9" s="1164"/>
      <c r="X9" s="1165"/>
      <c r="Y9" s="1165"/>
      <c r="Z9" s="1165"/>
      <c r="AA9" s="1165"/>
      <c r="AB9" s="1165"/>
      <c r="AC9" s="1165"/>
      <c r="AD9" s="1165"/>
      <c r="AE9" s="1165"/>
      <c r="AF9" s="1166"/>
    </row>
    <row r="10" spans="1:32" s="7" customFormat="1">
      <c r="A10" s="143" t="s">
        <v>337</v>
      </c>
      <c r="B10" s="9" t="s">
        <v>880</v>
      </c>
      <c r="C10" s="9" t="s">
        <v>880</v>
      </c>
      <c r="D10" s="188">
        <v>0</v>
      </c>
      <c r="E10" s="188">
        <v>0</v>
      </c>
      <c r="F10" s="188">
        <v>0</v>
      </c>
      <c r="G10" s="188">
        <v>0</v>
      </c>
      <c r="H10" s="188">
        <v>0</v>
      </c>
      <c r="I10" s="188">
        <v>0</v>
      </c>
      <c r="J10" s="188">
        <v>0</v>
      </c>
      <c r="K10" s="188">
        <v>0</v>
      </c>
      <c r="L10" s="188">
        <v>0</v>
      </c>
      <c r="M10" s="188">
        <v>0</v>
      </c>
      <c r="N10" s="188">
        <v>0</v>
      </c>
      <c r="O10" s="188">
        <v>0</v>
      </c>
      <c r="P10" s="188">
        <v>0</v>
      </c>
      <c r="Q10" s="188">
        <v>1</v>
      </c>
      <c r="R10" s="1161" t="s">
        <v>1055</v>
      </c>
      <c r="S10" s="1161"/>
      <c r="T10" s="1161"/>
      <c r="U10" s="1162" t="s">
        <v>1056</v>
      </c>
      <c r="V10" s="1163"/>
      <c r="W10" s="1164"/>
      <c r="X10" s="1165"/>
      <c r="Y10" s="1165"/>
      <c r="Z10" s="1165"/>
      <c r="AA10" s="1165"/>
      <c r="AB10" s="1165"/>
      <c r="AC10" s="1165"/>
      <c r="AD10" s="1165"/>
      <c r="AE10" s="1165"/>
      <c r="AF10" s="1166"/>
    </row>
    <row r="11" spans="1:32" s="7" customFormat="1">
      <c r="A11" s="143" t="s">
        <v>268</v>
      </c>
      <c r="B11" s="9" t="s">
        <v>880</v>
      </c>
      <c r="C11" s="9" t="s">
        <v>880</v>
      </c>
      <c r="D11" s="188">
        <v>0</v>
      </c>
      <c r="E11" s="188">
        <v>0</v>
      </c>
      <c r="F11" s="188">
        <v>0</v>
      </c>
      <c r="G11" s="188">
        <v>0</v>
      </c>
      <c r="H11" s="188">
        <v>0</v>
      </c>
      <c r="I11" s="188">
        <v>0</v>
      </c>
      <c r="J11" s="188">
        <v>0</v>
      </c>
      <c r="K11" s="188">
        <v>0</v>
      </c>
      <c r="L11" s="188">
        <v>0</v>
      </c>
      <c r="M11" s="188">
        <v>0</v>
      </c>
      <c r="N11" s="188">
        <v>0</v>
      </c>
      <c r="O11" s="188">
        <v>0</v>
      </c>
      <c r="P11" s="188">
        <v>0</v>
      </c>
      <c r="Q11" s="188">
        <v>1</v>
      </c>
      <c r="R11" s="1161" t="s">
        <v>1055</v>
      </c>
      <c r="S11" s="1161"/>
      <c r="T11" s="1161"/>
      <c r="U11" s="1162" t="s">
        <v>1056</v>
      </c>
      <c r="V11" s="1163"/>
      <c r="W11" s="1164"/>
      <c r="X11" s="1165"/>
      <c r="Y11" s="1165"/>
      <c r="Z11" s="1165"/>
      <c r="AA11" s="1165"/>
      <c r="AB11" s="1165"/>
      <c r="AC11" s="1165"/>
      <c r="AD11" s="1165"/>
      <c r="AE11" s="1165"/>
      <c r="AF11" s="1166"/>
    </row>
    <row r="12" spans="1:32" s="7" customFormat="1">
      <c r="A12" s="143" t="s">
        <v>361</v>
      </c>
      <c r="B12" s="9" t="s">
        <v>880</v>
      </c>
      <c r="C12" s="9" t="s">
        <v>880</v>
      </c>
      <c r="D12" s="188">
        <v>0</v>
      </c>
      <c r="E12" s="188">
        <v>0</v>
      </c>
      <c r="F12" s="188">
        <v>0</v>
      </c>
      <c r="G12" s="188">
        <v>0</v>
      </c>
      <c r="H12" s="188">
        <v>0</v>
      </c>
      <c r="I12" s="188">
        <v>0</v>
      </c>
      <c r="J12" s="188">
        <v>0</v>
      </c>
      <c r="K12" s="188">
        <v>0</v>
      </c>
      <c r="L12" s="188">
        <v>0</v>
      </c>
      <c r="M12" s="188">
        <v>0</v>
      </c>
      <c r="N12" s="188">
        <v>0</v>
      </c>
      <c r="O12" s="188">
        <v>0</v>
      </c>
      <c r="P12" s="188">
        <v>0</v>
      </c>
      <c r="Q12" s="188">
        <v>1</v>
      </c>
      <c r="R12" s="1161" t="s">
        <v>1055</v>
      </c>
      <c r="S12" s="1161"/>
      <c r="T12" s="1161"/>
      <c r="U12" s="1162" t="s">
        <v>1056</v>
      </c>
      <c r="V12" s="1163"/>
      <c r="W12" s="1164"/>
      <c r="X12" s="1165"/>
      <c r="Y12" s="1165"/>
      <c r="Z12" s="1165"/>
      <c r="AA12" s="1165"/>
      <c r="AB12" s="1165"/>
      <c r="AC12" s="1165"/>
      <c r="AD12" s="1165"/>
      <c r="AE12" s="1165"/>
      <c r="AF12" s="1166"/>
    </row>
    <row r="13" spans="1:32" s="7" customFormat="1">
      <c r="A13" s="143" t="s">
        <v>308</v>
      </c>
      <c r="B13" s="9" t="s">
        <v>880</v>
      </c>
      <c r="C13" s="9" t="s">
        <v>880</v>
      </c>
      <c r="D13" s="188">
        <v>0</v>
      </c>
      <c r="E13" s="188">
        <v>0</v>
      </c>
      <c r="F13" s="188">
        <v>0</v>
      </c>
      <c r="G13" s="188">
        <v>0</v>
      </c>
      <c r="H13" s="188">
        <v>0</v>
      </c>
      <c r="I13" s="188">
        <v>0</v>
      </c>
      <c r="J13" s="188">
        <v>0</v>
      </c>
      <c r="K13" s="188">
        <v>1</v>
      </c>
      <c r="L13" s="188">
        <v>0</v>
      </c>
      <c r="M13" s="188">
        <v>0</v>
      </c>
      <c r="N13" s="188">
        <v>0</v>
      </c>
      <c r="O13" s="188">
        <v>0</v>
      </c>
      <c r="P13" s="188">
        <v>0</v>
      </c>
      <c r="Q13" s="188">
        <v>0</v>
      </c>
      <c r="R13" s="1161" t="s">
        <v>1055</v>
      </c>
      <c r="S13" s="1161"/>
      <c r="T13" s="1161"/>
      <c r="U13" s="1162" t="s">
        <v>1056</v>
      </c>
      <c r="V13" s="1163"/>
      <c r="W13" s="1164"/>
      <c r="X13" s="1165"/>
      <c r="Y13" s="1165"/>
      <c r="Z13" s="1165"/>
      <c r="AA13" s="1165"/>
      <c r="AB13" s="1165"/>
      <c r="AC13" s="1165"/>
      <c r="AD13" s="1165"/>
      <c r="AE13" s="1165"/>
      <c r="AF13" s="1166"/>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088" t="s">
        <v>123</v>
      </c>
      <c r="S15" s="1088"/>
      <c r="T15" s="1088"/>
      <c r="U15" s="1088"/>
      <c r="V15" s="1088"/>
      <c r="W15" s="1088"/>
      <c r="X15" s="1088"/>
      <c r="Y15" s="1088"/>
      <c r="Z15" s="1088"/>
      <c r="AA15" s="1088"/>
      <c r="AB15" s="1088"/>
      <c r="AC15" s="1088"/>
      <c r="AD15" s="1088"/>
      <c r="AE15" s="1088"/>
      <c r="AF15" s="1088"/>
    </row>
    <row r="16" spans="1:32">
      <c r="A16" s="142" t="s">
        <v>1050</v>
      </c>
      <c r="B16" s="117" t="s">
        <v>880</v>
      </c>
      <c r="C16" s="117" t="s">
        <v>880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90" t="s">
        <v>1057</v>
      </c>
      <c r="S16" s="1090"/>
      <c r="T16" s="1090"/>
      <c r="U16" s="1090"/>
      <c r="V16" s="1090"/>
      <c r="W16" s="1090"/>
      <c r="X16" s="1090"/>
      <c r="Y16" s="1090"/>
      <c r="Z16" s="1090"/>
      <c r="AA16" s="1090"/>
      <c r="AB16" s="1090"/>
      <c r="AC16" s="1090"/>
      <c r="AD16" s="1090"/>
      <c r="AE16" s="1090"/>
      <c r="AF16" s="1090"/>
    </row>
    <row r="17" spans="1:32">
      <c r="A17" s="142" t="s">
        <v>227</v>
      </c>
      <c r="B17" s="117" t="s">
        <v>880</v>
      </c>
      <c r="C17" s="117" t="s">
        <v>880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90" t="s">
        <v>1057</v>
      </c>
      <c r="S17" s="1090"/>
      <c r="T17" s="1090"/>
      <c r="U17" s="1090"/>
      <c r="V17" s="1090"/>
      <c r="W17" s="1090"/>
      <c r="X17" s="1090"/>
      <c r="Y17" s="1090"/>
      <c r="Z17" s="1090"/>
      <c r="AA17" s="1090"/>
      <c r="AB17" s="1090"/>
      <c r="AC17" s="1090"/>
      <c r="AD17" s="1090"/>
      <c r="AE17" s="1090"/>
      <c r="AF17" s="1090"/>
    </row>
    <row r="18" spans="1:32">
      <c r="A18" s="142" t="s">
        <v>156</v>
      </c>
      <c r="B18" s="117" t="s">
        <v>880</v>
      </c>
      <c r="C18" s="117" t="s">
        <v>880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90" t="s">
        <v>1057</v>
      </c>
      <c r="S18" s="1090"/>
      <c r="T18" s="1090"/>
      <c r="U18" s="1090"/>
      <c r="V18" s="1090"/>
      <c r="W18" s="1090"/>
      <c r="X18" s="1090"/>
      <c r="Y18" s="1090"/>
      <c r="Z18" s="1090"/>
      <c r="AA18" s="1090"/>
      <c r="AB18" s="1090"/>
      <c r="AC18" s="1090"/>
      <c r="AD18" s="1090"/>
      <c r="AE18" s="1090"/>
      <c r="AF18" s="1090"/>
    </row>
    <row r="19" spans="1:32">
      <c r="A19" s="142" t="s">
        <v>159</v>
      </c>
      <c r="B19" s="117" t="s">
        <v>880</v>
      </c>
      <c r="C19" s="117" t="s">
        <v>880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90" t="s">
        <v>1057</v>
      </c>
      <c r="S19" s="1090"/>
      <c r="T19" s="1090"/>
      <c r="U19" s="1090"/>
      <c r="V19" s="1090"/>
      <c r="W19" s="1090"/>
      <c r="X19" s="1090"/>
      <c r="Y19" s="1090"/>
      <c r="Z19" s="1090"/>
      <c r="AA19" s="1090"/>
      <c r="AB19" s="1090"/>
      <c r="AC19" s="1090"/>
      <c r="AD19" s="1090"/>
      <c r="AE19" s="1090"/>
      <c r="AF19" s="1090"/>
    </row>
    <row r="20" spans="1:32">
      <c r="A20" s="142" t="s">
        <v>160</v>
      </c>
      <c r="B20" s="117" t="s">
        <v>880</v>
      </c>
      <c r="C20" s="117" t="s">
        <v>880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90" t="s">
        <v>1057</v>
      </c>
      <c r="S20" s="1090"/>
      <c r="T20" s="1090"/>
      <c r="U20" s="1090"/>
      <c r="V20" s="1090"/>
      <c r="W20" s="1090"/>
      <c r="X20" s="1090"/>
      <c r="Y20" s="1090"/>
      <c r="Z20" s="1090"/>
      <c r="AA20" s="1090"/>
      <c r="AB20" s="1090"/>
      <c r="AC20" s="1090"/>
      <c r="AD20" s="1090"/>
      <c r="AE20" s="1090"/>
      <c r="AF20" s="1090"/>
    </row>
    <row r="21" spans="1:32">
      <c r="A21" s="142" t="s">
        <v>161</v>
      </c>
      <c r="B21" s="117" t="s">
        <v>880</v>
      </c>
      <c r="C21" s="117" t="s">
        <v>880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90" t="s">
        <v>1057</v>
      </c>
      <c r="S21" s="1090"/>
      <c r="T21" s="1090"/>
      <c r="U21" s="1090"/>
      <c r="V21" s="1090"/>
      <c r="W21" s="1090"/>
      <c r="X21" s="1090"/>
      <c r="Y21" s="1090"/>
      <c r="Z21" s="1090"/>
      <c r="AA21" s="1090"/>
      <c r="AB21" s="1090"/>
      <c r="AC21" s="1090"/>
      <c r="AD21" s="1090"/>
      <c r="AE21" s="1090"/>
      <c r="AF21" s="1090"/>
    </row>
    <row r="22" spans="1:32">
      <c r="A22" s="142" t="s">
        <v>313</v>
      </c>
      <c r="B22" s="117" t="s">
        <v>880</v>
      </c>
      <c r="C22" s="117" t="s">
        <v>880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90" t="s">
        <v>1057</v>
      </c>
      <c r="S22" s="1090"/>
      <c r="T22" s="1090"/>
      <c r="U22" s="1090"/>
      <c r="V22" s="1090"/>
      <c r="W22" s="1090"/>
      <c r="X22" s="1090"/>
      <c r="Y22" s="1090"/>
      <c r="Z22" s="1090"/>
      <c r="AA22" s="1090"/>
      <c r="AB22" s="1090"/>
      <c r="AC22" s="1090"/>
      <c r="AD22" s="1090"/>
      <c r="AE22" s="1090"/>
      <c r="AF22" s="1090"/>
    </row>
    <row r="23" spans="1:32">
      <c r="A23" s="142" t="s">
        <v>337</v>
      </c>
      <c r="B23" s="117" t="s">
        <v>880</v>
      </c>
      <c r="C23" s="117" t="s">
        <v>880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90" t="s">
        <v>1057</v>
      </c>
      <c r="S23" s="1090"/>
      <c r="T23" s="1090"/>
      <c r="U23" s="1090"/>
      <c r="V23" s="1090"/>
      <c r="W23" s="1090"/>
      <c r="X23" s="1090"/>
      <c r="Y23" s="1090"/>
      <c r="Z23" s="1090"/>
      <c r="AA23" s="1090"/>
      <c r="AB23" s="1090"/>
      <c r="AC23" s="1090"/>
      <c r="AD23" s="1090"/>
      <c r="AE23" s="1090"/>
      <c r="AF23" s="1090"/>
    </row>
    <row r="24" spans="1:32">
      <c r="A24" s="142" t="s">
        <v>268</v>
      </c>
      <c r="B24" s="117" t="s">
        <v>880</v>
      </c>
      <c r="C24" s="117" t="s">
        <v>880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90" t="s">
        <v>1057</v>
      </c>
      <c r="S24" s="1090"/>
      <c r="T24" s="1090"/>
      <c r="U24" s="1090"/>
      <c r="V24" s="1090"/>
      <c r="W24" s="1090"/>
      <c r="X24" s="1090"/>
      <c r="Y24" s="1090"/>
      <c r="Z24" s="1090"/>
      <c r="AA24" s="1090"/>
      <c r="AB24" s="1090"/>
      <c r="AC24" s="1090"/>
      <c r="AD24" s="1090"/>
      <c r="AE24" s="1090"/>
      <c r="AF24" s="1090"/>
    </row>
    <row r="25" spans="1:32">
      <c r="A25" s="142" t="s">
        <v>361</v>
      </c>
      <c r="B25" s="117" t="s">
        <v>880</v>
      </c>
      <c r="C25" s="117" t="s">
        <v>880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90" t="s">
        <v>1057</v>
      </c>
      <c r="S25" s="1090"/>
      <c r="T25" s="1090"/>
      <c r="U25" s="1090"/>
      <c r="V25" s="1090"/>
      <c r="W25" s="1090"/>
      <c r="X25" s="1090"/>
      <c r="Y25" s="1090"/>
      <c r="Z25" s="1090"/>
      <c r="AA25" s="1090"/>
      <c r="AB25" s="1090"/>
      <c r="AC25" s="1090"/>
      <c r="AD25" s="1090"/>
      <c r="AE25" s="1090"/>
      <c r="AF25" s="1090"/>
    </row>
    <row r="26" spans="1:32">
      <c r="A26" s="142" t="s">
        <v>308</v>
      </c>
      <c r="B26" s="117" t="s">
        <v>880</v>
      </c>
      <c r="C26" s="117" t="s">
        <v>880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90" t="s">
        <v>1057</v>
      </c>
      <c r="S26" s="1090"/>
      <c r="T26" s="1090"/>
      <c r="U26" s="1090"/>
      <c r="V26" s="1090"/>
      <c r="W26" s="1090"/>
      <c r="X26" s="1090"/>
      <c r="Y26" s="1090"/>
      <c r="Z26" s="1090"/>
      <c r="AA26" s="1090"/>
      <c r="AB26" s="1090"/>
      <c r="AC26" s="1090"/>
      <c r="AD26" s="1090"/>
      <c r="AE26" s="1090"/>
      <c r="AF26" s="1090"/>
    </row>
    <row r="28" spans="1:32" ht="30" customHeight="1">
      <c r="A28" s="1100" t="s">
        <v>781</v>
      </c>
      <c r="B28" s="1100"/>
      <c r="C28" s="1100"/>
      <c r="D28" s="1100"/>
      <c r="E28" s="1100"/>
      <c r="F28" s="1100"/>
      <c r="G28" s="1100"/>
      <c r="H28" s="1100"/>
      <c r="I28" s="1100"/>
      <c r="J28" s="1100"/>
      <c r="K28" s="1100"/>
      <c r="L28" s="1100"/>
      <c r="M28" s="1100"/>
      <c r="N28" s="1100"/>
      <c r="O28" s="1100"/>
      <c r="P28" s="1100"/>
      <c r="Q28" s="1100"/>
      <c r="R28" s="1100"/>
      <c r="S28" s="1100"/>
      <c r="T28" s="1100"/>
      <c r="U28" s="1100"/>
      <c r="V28" s="1100"/>
      <c r="W28" s="1100"/>
      <c r="X28" s="1100"/>
      <c r="Y28" s="1100"/>
      <c r="Z28" s="1100"/>
      <c r="AA28" s="1100"/>
      <c r="AB28" s="1100"/>
      <c r="AC28" s="1100"/>
      <c r="AD28" s="1100"/>
      <c r="AE28" s="1100"/>
      <c r="AF28" s="1100"/>
    </row>
    <row r="29" spans="1:32" ht="30" customHeight="1">
      <c r="A29" s="139" t="s">
        <v>100</v>
      </c>
      <c r="B29" s="139" t="s">
        <v>101</v>
      </c>
      <c r="C29" s="139" t="s">
        <v>131</v>
      </c>
      <c r="D29" s="139" t="s">
        <v>1058</v>
      </c>
      <c r="E29" s="139" t="s">
        <v>1059</v>
      </c>
      <c r="F29" s="139" t="s">
        <v>1060</v>
      </c>
      <c r="G29" s="1114" t="s">
        <v>104</v>
      </c>
      <c r="H29" s="1115"/>
      <c r="I29" s="1115"/>
      <c r="J29" s="1115"/>
      <c r="K29" s="1115"/>
      <c r="L29" s="1116"/>
      <c r="M29" s="1088" t="s">
        <v>892</v>
      </c>
      <c r="N29" s="1088"/>
      <c r="O29" s="1088"/>
      <c r="P29" s="1088"/>
      <c r="Q29" s="1088"/>
      <c r="R29" s="1088" t="s">
        <v>123</v>
      </c>
      <c r="S29" s="1088"/>
      <c r="T29" s="1088"/>
      <c r="U29" s="1088"/>
      <c r="V29" s="1088"/>
      <c r="W29" s="1088"/>
      <c r="X29" s="1088"/>
      <c r="Y29" s="1088"/>
      <c r="Z29" s="1088"/>
      <c r="AA29" s="1088"/>
      <c r="AB29" s="1088"/>
      <c r="AC29" s="1088"/>
      <c r="AD29" s="1088"/>
      <c r="AE29" s="1088"/>
      <c r="AF29" s="1088"/>
    </row>
    <row r="30" spans="1:32">
      <c r="A30" s="142" t="s">
        <v>1050</v>
      </c>
      <c r="B30" s="117">
        <v>2020</v>
      </c>
      <c r="C30" s="117" t="s">
        <v>182</v>
      </c>
      <c r="D30" s="130">
        <v>4000</v>
      </c>
      <c r="E30" s="130">
        <v>8700</v>
      </c>
      <c r="F30" s="130">
        <v>13400</v>
      </c>
      <c r="G30" s="1090" t="s">
        <v>1061</v>
      </c>
      <c r="H30" s="1090"/>
      <c r="I30" s="1090"/>
      <c r="J30" s="1130" t="s">
        <v>1062</v>
      </c>
      <c r="K30" s="1130"/>
      <c r="L30" s="1130"/>
      <c r="M30" s="1090" t="s">
        <v>1063</v>
      </c>
      <c r="N30" s="1090"/>
      <c r="O30" s="1090"/>
      <c r="P30" s="1090"/>
      <c r="Q30" s="1090"/>
      <c r="R30" s="1090"/>
      <c r="S30" s="1090"/>
      <c r="T30" s="1090"/>
      <c r="U30" s="1090"/>
      <c r="V30" s="1090"/>
      <c r="W30" s="1090"/>
      <c r="X30" s="1090"/>
      <c r="Y30" s="1090"/>
      <c r="Z30" s="1090"/>
      <c r="AA30" s="1090"/>
      <c r="AB30" s="1090"/>
      <c r="AC30" s="1090"/>
      <c r="AD30" s="1090"/>
      <c r="AE30" s="1090"/>
      <c r="AF30" s="1090"/>
    </row>
    <row r="31" spans="1:32">
      <c r="A31" s="142" t="s">
        <v>227</v>
      </c>
      <c r="B31" s="117">
        <v>2020</v>
      </c>
      <c r="C31" s="117" t="s">
        <v>182</v>
      </c>
      <c r="D31" s="130">
        <v>11200</v>
      </c>
      <c r="E31" s="130">
        <v>16900</v>
      </c>
      <c r="F31" s="130">
        <v>22800</v>
      </c>
      <c r="G31" s="1090" t="s">
        <v>1064</v>
      </c>
      <c r="H31" s="1090"/>
      <c r="I31" s="1090"/>
      <c r="J31" s="1130" t="s">
        <v>1062</v>
      </c>
      <c r="K31" s="1130"/>
      <c r="L31" s="1130"/>
      <c r="M31" s="1090" t="s">
        <v>1063</v>
      </c>
      <c r="N31" s="1090"/>
      <c r="O31" s="1090"/>
      <c r="P31" s="1090"/>
      <c r="Q31" s="1090"/>
      <c r="R31" s="1090"/>
      <c r="S31" s="1090"/>
      <c r="T31" s="1090"/>
      <c r="U31" s="1090"/>
      <c r="V31" s="1090"/>
      <c r="W31" s="1090"/>
      <c r="X31" s="1090"/>
      <c r="Y31" s="1090"/>
      <c r="Z31" s="1090"/>
      <c r="AA31" s="1090"/>
      <c r="AB31" s="1090"/>
      <c r="AC31" s="1090"/>
      <c r="AD31" s="1090"/>
      <c r="AE31" s="1090"/>
      <c r="AF31" s="1090"/>
    </row>
    <row r="32" spans="1:32">
      <c r="A32" s="142" t="s">
        <v>156</v>
      </c>
      <c r="B32" s="117">
        <v>2020</v>
      </c>
      <c r="C32" s="117" t="s">
        <v>182</v>
      </c>
      <c r="D32" s="130">
        <v>1000</v>
      </c>
      <c r="E32" s="130">
        <v>10000</v>
      </c>
      <c r="F32" s="130">
        <v>17000</v>
      </c>
      <c r="G32" s="1090" t="s">
        <v>1065</v>
      </c>
      <c r="H32" s="1090"/>
      <c r="I32" s="1090"/>
      <c r="J32" s="1130" t="s">
        <v>1062</v>
      </c>
      <c r="K32" s="1130"/>
      <c r="L32" s="1130"/>
      <c r="M32" s="1090" t="s">
        <v>1066</v>
      </c>
      <c r="N32" s="1090"/>
      <c r="O32" s="1090"/>
      <c r="P32" s="1090"/>
      <c r="Q32" s="1090"/>
      <c r="R32" s="1090"/>
      <c r="S32" s="1090"/>
      <c r="T32" s="1090"/>
      <c r="U32" s="1090"/>
      <c r="V32" s="1090"/>
      <c r="W32" s="1090"/>
      <c r="X32" s="1090"/>
      <c r="Y32" s="1090"/>
      <c r="Z32" s="1090"/>
      <c r="AA32" s="1090"/>
      <c r="AB32" s="1090"/>
      <c r="AC32" s="1090"/>
      <c r="AD32" s="1090"/>
      <c r="AE32" s="1090"/>
      <c r="AF32" s="1090"/>
    </row>
    <row r="33" spans="1:32">
      <c r="A33" s="142" t="s">
        <v>159</v>
      </c>
      <c r="B33" s="117">
        <v>2020</v>
      </c>
      <c r="C33" s="117" t="s">
        <v>182</v>
      </c>
      <c r="D33" s="130">
        <v>2000</v>
      </c>
      <c r="E33" s="130">
        <v>4000</v>
      </c>
      <c r="F33" s="130">
        <v>6000</v>
      </c>
      <c r="G33" s="1090" t="s">
        <v>1067</v>
      </c>
      <c r="H33" s="1090"/>
      <c r="I33" s="1090"/>
      <c r="J33" s="1130" t="s">
        <v>1062</v>
      </c>
      <c r="K33" s="1130"/>
      <c r="L33" s="1130"/>
      <c r="M33" s="1090" t="s">
        <v>1066</v>
      </c>
      <c r="N33" s="1090"/>
      <c r="O33" s="1090"/>
      <c r="P33" s="1090"/>
      <c r="Q33" s="1090"/>
      <c r="R33" s="1090"/>
      <c r="S33" s="1090"/>
      <c r="T33" s="1090"/>
      <c r="U33" s="1090"/>
      <c r="V33" s="1090"/>
      <c r="W33" s="1090"/>
      <c r="X33" s="1090"/>
      <c r="Y33" s="1090"/>
      <c r="Z33" s="1090"/>
      <c r="AA33" s="1090"/>
      <c r="AB33" s="1090"/>
      <c r="AC33" s="1090"/>
      <c r="AD33" s="1090"/>
      <c r="AE33" s="1090"/>
      <c r="AF33" s="1090"/>
    </row>
    <row r="34" spans="1:32">
      <c r="A34" s="142" t="s">
        <v>160</v>
      </c>
      <c r="B34" s="117">
        <v>2020</v>
      </c>
      <c r="C34" s="117" t="s">
        <v>182</v>
      </c>
      <c r="D34" s="130">
        <v>100</v>
      </c>
      <c r="E34" s="130">
        <v>500</v>
      </c>
      <c r="F34" s="130">
        <v>700</v>
      </c>
      <c r="G34" s="1090" t="s">
        <v>1068</v>
      </c>
      <c r="H34" s="1090"/>
      <c r="I34" s="1090"/>
      <c r="J34" s="1130" t="s">
        <v>1062</v>
      </c>
      <c r="K34" s="1130"/>
      <c r="L34" s="1130"/>
      <c r="M34" s="1090" t="s">
        <v>1066</v>
      </c>
      <c r="N34" s="1090"/>
      <c r="O34" s="1090"/>
      <c r="P34" s="1090"/>
      <c r="Q34" s="1090"/>
      <c r="R34" s="1090"/>
      <c r="S34" s="1090"/>
      <c r="T34" s="1090"/>
      <c r="U34" s="1090"/>
      <c r="V34" s="1090"/>
      <c r="W34" s="1090"/>
      <c r="X34" s="1090"/>
      <c r="Y34" s="1090"/>
      <c r="Z34" s="1090"/>
      <c r="AA34" s="1090"/>
      <c r="AB34" s="1090"/>
      <c r="AC34" s="1090"/>
      <c r="AD34" s="1090"/>
      <c r="AE34" s="1090"/>
      <c r="AF34" s="1090"/>
    </row>
    <row r="35" spans="1:32">
      <c r="A35" s="142" t="s">
        <v>161</v>
      </c>
      <c r="B35" s="117">
        <v>2020</v>
      </c>
      <c r="C35" s="117" t="s">
        <v>182</v>
      </c>
      <c r="D35" s="130">
        <v>250</v>
      </c>
      <c r="E35" s="130">
        <v>500</v>
      </c>
      <c r="F35" s="130">
        <v>1000</v>
      </c>
      <c r="G35" s="1090" t="s">
        <v>1069</v>
      </c>
      <c r="H35" s="1090"/>
      <c r="I35" s="1090"/>
      <c r="J35" s="1130" t="s">
        <v>1062</v>
      </c>
      <c r="K35" s="1130"/>
      <c r="L35" s="1130"/>
      <c r="M35" s="1090" t="s">
        <v>1066</v>
      </c>
      <c r="N35" s="1090"/>
      <c r="O35" s="1090"/>
      <c r="P35" s="1090"/>
      <c r="Q35" s="1090"/>
      <c r="R35" s="1090"/>
      <c r="S35" s="1090"/>
      <c r="T35" s="1090"/>
      <c r="U35" s="1090"/>
      <c r="V35" s="1090"/>
      <c r="W35" s="1090"/>
      <c r="X35" s="1090"/>
      <c r="Y35" s="1090"/>
      <c r="Z35" s="1090"/>
      <c r="AA35" s="1090"/>
      <c r="AB35" s="1090"/>
      <c r="AC35" s="1090"/>
      <c r="AD35" s="1090"/>
      <c r="AE35" s="1090"/>
      <c r="AF35" s="1090"/>
    </row>
    <row r="36" spans="1:32">
      <c r="A36" s="142" t="s">
        <v>313</v>
      </c>
      <c r="B36" s="117">
        <v>2020</v>
      </c>
      <c r="C36" s="117" t="s">
        <v>182</v>
      </c>
      <c r="D36" s="130">
        <f>E36/2</f>
        <v>52.502499999999998</v>
      </c>
      <c r="E36" s="130">
        <f>100+5+0.005</f>
        <v>105.005</v>
      </c>
      <c r="F36" s="130">
        <f>E36*2</f>
        <v>210.01</v>
      </c>
      <c r="G36" s="1155" t="s">
        <v>1070</v>
      </c>
      <c r="H36" s="1155"/>
      <c r="I36" s="1155"/>
      <c r="J36" s="1130" t="s">
        <v>1062</v>
      </c>
      <c r="K36" s="1130"/>
      <c r="L36" s="1130"/>
      <c r="M36" s="1090" t="s">
        <v>1071</v>
      </c>
      <c r="N36" s="1090"/>
      <c r="O36" s="1090"/>
      <c r="P36" s="1090"/>
      <c r="Q36" s="1090"/>
      <c r="R36" s="1090"/>
      <c r="S36" s="1090"/>
      <c r="T36" s="1090"/>
      <c r="U36" s="1090"/>
      <c r="V36" s="1090"/>
      <c r="W36" s="1090"/>
      <c r="X36" s="1090"/>
      <c r="Y36" s="1090"/>
      <c r="Z36" s="1090"/>
      <c r="AA36" s="1090"/>
      <c r="AB36" s="1090"/>
      <c r="AC36" s="1090"/>
      <c r="AD36" s="1090"/>
      <c r="AE36" s="1090"/>
      <c r="AF36" s="1090"/>
    </row>
    <row r="37" spans="1:32">
      <c r="A37" s="142" t="s">
        <v>337</v>
      </c>
      <c r="B37" s="117">
        <v>2020</v>
      </c>
      <c r="C37" s="117" t="s">
        <v>182</v>
      </c>
      <c r="D37" s="130">
        <v>800</v>
      </c>
      <c r="E37" s="130">
        <f>1600+700</f>
        <v>2300</v>
      </c>
      <c r="F37" s="130">
        <v>3700</v>
      </c>
      <c r="G37" s="1155" t="s">
        <v>1072</v>
      </c>
      <c r="H37" s="1155"/>
      <c r="I37" s="1155"/>
      <c r="J37" s="1130" t="s">
        <v>1062</v>
      </c>
      <c r="K37" s="1130"/>
      <c r="L37" s="1130"/>
      <c r="M37" s="1090" t="s">
        <v>1071</v>
      </c>
      <c r="N37" s="1090"/>
      <c r="O37" s="1090"/>
      <c r="P37" s="1090"/>
      <c r="Q37" s="1090"/>
      <c r="R37" s="1090"/>
      <c r="S37" s="1090"/>
      <c r="T37" s="1090"/>
      <c r="U37" s="1090"/>
      <c r="V37" s="1090"/>
      <c r="W37" s="1090"/>
      <c r="X37" s="1090"/>
      <c r="Y37" s="1090"/>
      <c r="Z37" s="1090"/>
      <c r="AA37" s="1090"/>
      <c r="AB37" s="1090"/>
      <c r="AC37" s="1090"/>
      <c r="AD37" s="1090"/>
      <c r="AE37" s="1090"/>
      <c r="AF37" s="1090"/>
    </row>
    <row r="38" spans="1:32">
      <c r="A38" s="142" t="s">
        <v>268</v>
      </c>
      <c r="B38" s="117">
        <v>2020</v>
      </c>
      <c r="C38" s="117" t="s">
        <v>182</v>
      </c>
      <c r="D38" s="130">
        <f>D37</f>
        <v>800</v>
      </c>
      <c r="E38" s="130">
        <f>E37</f>
        <v>2300</v>
      </c>
      <c r="F38" s="130">
        <f>F37</f>
        <v>3700</v>
      </c>
      <c r="G38" s="1153" t="s">
        <v>1073</v>
      </c>
      <c r="H38" s="1153"/>
      <c r="I38" s="1153"/>
      <c r="J38" s="1130" t="s">
        <v>1062</v>
      </c>
      <c r="K38" s="1130"/>
      <c r="L38" s="1130"/>
      <c r="M38" s="1090" t="s">
        <v>1071</v>
      </c>
      <c r="N38" s="1090"/>
      <c r="O38" s="1090"/>
      <c r="P38" s="1090"/>
      <c r="Q38" s="1090"/>
      <c r="R38" s="1090"/>
      <c r="S38" s="1090"/>
      <c r="T38" s="1090"/>
      <c r="U38" s="1090"/>
      <c r="V38" s="1090"/>
      <c r="W38" s="1090"/>
      <c r="X38" s="1090"/>
      <c r="Y38" s="1090"/>
      <c r="Z38" s="1090"/>
      <c r="AA38" s="1090"/>
      <c r="AB38" s="1090"/>
      <c r="AC38" s="1090"/>
      <c r="AD38" s="1090"/>
      <c r="AE38" s="1090"/>
      <c r="AF38" s="1090"/>
    </row>
    <row r="39" spans="1:32">
      <c r="A39" s="142" t="s">
        <v>361</v>
      </c>
      <c r="B39" s="117">
        <v>2020</v>
      </c>
      <c r="C39" s="117" t="s">
        <v>182</v>
      </c>
      <c r="D39" s="130">
        <f>E39/2</f>
        <v>897.5</v>
      </c>
      <c r="E39" s="130">
        <v>1795</v>
      </c>
      <c r="F39" s="130">
        <f>E39*2</f>
        <v>3590</v>
      </c>
      <c r="G39" s="1090" t="s">
        <v>1074</v>
      </c>
      <c r="H39" s="1090"/>
      <c r="I39" s="1090"/>
      <c r="J39" s="1130" t="s">
        <v>1062</v>
      </c>
      <c r="K39" s="1130"/>
      <c r="L39" s="1130"/>
      <c r="M39" s="1090" t="s">
        <v>1075</v>
      </c>
      <c r="N39" s="1090"/>
      <c r="O39" s="1090"/>
      <c r="P39" s="1090"/>
      <c r="Q39" s="1090"/>
      <c r="R39" s="1090"/>
      <c r="S39" s="1090"/>
      <c r="T39" s="1090"/>
      <c r="U39" s="1090"/>
      <c r="V39" s="1090"/>
      <c r="W39" s="1090"/>
      <c r="X39" s="1090"/>
      <c r="Y39" s="1090"/>
      <c r="Z39" s="1090"/>
      <c r="AA39" s="1090"/>
      <c r="AB39" s="1090"/>
      <c r="AC39" s="1090"/>
      <c r="AD39" s="1090"/>
      <c r="AE39" s="1090"/>
      <c r="AF39" s="1090"/>
    </row>
    <row r="40" spans="1:32">
      <c r="A40" s="142" t="s">
        <v>308</v>
      </c>
      <c r="B40" s="117">
        <v>2020</v>
      </c>
      <c r="C40" s="117" t="s">
        <v>182</v>
      </c>
      <c r="D40" s="374">
        <v>46000</v>
      </c>
      <c r="E40" s="374">
        <f>AVERAGE(D40,F40)</f>
        <v>115500</v>
      </c>
      <c r="F40" s="374">
        <v>185000</v>
      </c>
      <c r="G40" s="1153" t="s">
        <v>1076</v>
      </c>
      <c r="H40" s="1153"/>
      <c r="I40" s="1153"/>
      <c r="J40" s="1130" t="s">
        <v>1062</v>
      </c>
      <c r="K40" s="1130"/>
      <c r="L40" s="1130"/>
      <c r="M40" s="1090" t="s">
        <v>1077</v>
      </c>
      <c r="N40" s="1090"/>
      <c r="O40" s="1090"/>
      <c r="P40" s="1090"/>
      <c r="Q40" s="1090"/>
      <c r="R40" s="1090"/>
      <c r="S40" s="1090"/>
      <c r="T40" s="1090"/>
      <c r="U40" s="1090"/>
      <c r="V40" s="1090"/>
      <c r="W40" s="1090"/>
      <c r="X40" s="1090"/>
      <c r="Y40" s="1090"/>
      <c r="Z40" s="1090"/>
      <c r="AA40" s="1090"/>
      <c r="AB40" s="1090"/>
      <c r="AC40" s="1090"/>
      <c r="AD40" s="1090"/>
      <c r="AE40" s="1090"/>
      <c r="AF40" s="1090"/>
    </row>
    <row r="41" spans="1:32">
      <c r="A41" s="138" t="s">
        <v>1078</v>
      </c>
      <c r="B41" s="127">
        <v>2020</v>
      </c>
      <c r="C41" s="127" t="s">
        <v>182</v>
      </c>
      <c r="D41" s="137">
        <f>SUM(D30:D40)</f>
        <v>67100.002500000002</v>
      </c>
      <c r="E41" s="137">
        <f>SUM(E30:E40)</f>
        <v>162600.005</v>
      </c>
      <c r="F41" s="137">
        <f>SUM(F30:F40)</f>
        <v>257100.01</v>
      </c>
      <c r="G41" s="1154"/>
      <c r="H41" s="1154"/>
      <c r="I41" s="1154"/>
      <c r="J41" s="1090"/>
      <c r="K41" s="1090"/>
      <c r="L41" s="1090"/>
      <c r="M41" s="1090"/>
      <c r="N41" s="1090"/>
      <c r="O41" s="1090"/>
      <c r="P41" s="1090"/>
      <c r="Q41" s="1090"/>
      <c r="R41" s="1154"/>
      <c r="S41" s="1154"/>
      <c r="T41" s="1154"/>
      <c r="U41" s="1154"/>
      <c r="V41" s="1154"/>
      <c r="W41" s="1154"/>
      <c r="X41" s="1154"/>
      <c r="Y41" s="1154"/>
      <c r="Z41" s="1154"/>
      <c r="AA41" s="1154"/>
      <c r="AB41" s="1154"/>
      <c r="AC41" s="1154"/>
      <c r="AD41" s="1154"/>
      <c r="AE41" s="1154"/>
      <c r="AF41" s="1154"/>
    </row>
    <row r="43" spans="1:32" ht="30" customHeight="1">
      <c r="A43" s="140" t="s">
        <v>100</v>
      </c>
      <c r="B43" s="140" t="s">
        <v>101</v>
      </c>
      <c r="C43" s="140" t="s">
        <v>131</v>
      </c>
      <c r="D43" s="189" t="s">
        <v>1079</v>
      </c>
      <c r="E43" s="189" t="s">
        <v>1080</v>
      </c>
      <c r="F43" s="189" t="s">
        <v>1081</v>
      </c>
      <c r="G43" s="189" t="s">
        <v>1082</v>
      </c>
      <c r="H43" s="189" t="s">
        <v>1083</v>
      </c>
      <c r="I43" s="189" t="s">
        <v>1084</v>
      </c>
      <c r="J43" s="189" t="s">
        <v>1085</v>
      </c>
      <c r="K43" s="189" t="s">
        <v>1086</v>
      </c>
      <c r="L43" s="189" t="s">
        <v>1087</v>
      </c>
      <c r="M43" s="189" t="s">
        <v>1088</v>
      </c>
      <c r="N43" s="189" t="s">
        <v>1089</v>
      </c>
      <c r="O43" s="189" t="s">
        <v>1090</v>
      </c>
      <c r="P43" s="189" t="s">
        <v>1091</v>
      </c>
      <c r="Q43" s="189" t="s">
        <v>1092</v>
      </c>
      <c r="R43" s="1088" t="s">
        <v>123</v>
      </c>
      <c r="S43" s="1088"/>
      <c r="T43" s="1088"/>
      <c r="U43" s="1088"/>
      <c r="V43" s="1088"/>
      <c r="W43" s="1088"/>
      <c r="X43" s="1088"/>
      <c r="Y43" s="1088"/>
      <c r="Z43" s="1088"/>
      <c r="AA43" s="1088"/>
      <c r="AB43" s="1088"/>
      <c r="AC43" s="1088"/>
      <c r="AD43" s="1088"/>
      <c r="AE43" s="1088"/>
      <c r="AF43" s="1088"/>
    </row>
    <row r="44" spans="1:32">
      <c r="A44" s="142" t="s">
        <v>1050</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90"/>
      <c r="S44" s="1090"/>
      <c r="T44" s="1090"/>
      <c r="U44" s="1090"/>
      <c r="V44" s="1090"/>
      <c r="W44" s="1090"/>
      <c r="X44" s="1090"/>
      <c r="Y44" s="1090"/>
      <c r="Z44" s="1090"/>
      <c r="AA44" s="1090"/>
      <c r="AB44" s="1090"/>
      <c r="AC44" s="1090"/>
      <c r="AD44" s="1090"/>
      <c r="AE44" s="1090"/>
      <c r="AF44" s="1090"/>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90"/>
      <c r="S45" s="1090"/>
      <c r="T45" s="1090"/>
      <c r="U45" s="1090"/>
      <c r="V45" s="1090"/>
      <c r="W45" s="1090"/>
      <c r="X45" s="1090"/>
      <c r="Y45" s="1090"/>
      <c r="Z45" s="1090"/>
      <c r="AA45" s="1090"/>
      <c r="AB45" s="1090"/>
      <c r="AC45" s="1090"/>
      <c r="AD45" s="1090"/>
      <c r="AE45" s="1090"/>
      <c r="AF45" s="1090"/>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90"/>
      <c r="S46" s="1090"/>
      <c r="T46" s="1090"/>
      <c r="U46" s="1090"/>
      <c r="V46" s="1090"/>
      <c r="W46" s="1090"/>
      <c r="X46" s="1090"/>
      <c r="Y46" s="1090"/>
      <c r="Z46" s="1090"/>
      <c r="AA46" s="1090"/>
      <c r="AB46" s="1090"/>
      <c r="AC46" s="1090"/>
      <c r="AD46" s="1090"/>
      <c r="AE46" s="1090"/>
      <c r="AF46" s="1090"/>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90"/>
      <c r="S47" s="1090"/>
      <c r="T47" s="1090"/>
      <c r="U47" s="1090"/>
      <c r="V47" s="1090"/>
      <c r="W47" s="1090"/>
      <c r="X47" s="1090"/>
      <c r="Y47" s="1090"/>
      <c r="Z47" s="1090"/>
      <c r="AA47" s="1090"/>
      <c r="AB47" s="1090"/>
      <c r="AC47" s="1090"/>
      <c r="AD47" s="1090"/>
      <c r="AE47" s="1090"/>
      <c r="AF47" s="1090"/>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90"/>
      <c r="S48" s="1090"/>
      <c r="T48" s="1090"/>
      <c r="U48" s="1090"/>
      <c r="V48" s="1090"/>
      <c r="W48" s="1090"/>
      <c r="X48" s="1090"/>
      <c r="Y48" s="1090"/>
      <c r="Z48" s="1090"/>
      <c r="AA48" s="1090"/>
      <c r="AB48" s="1090"/>
      <c r="AC48" s="1090"/>
      <c r="AD48" s="1090"/>
      <c r="AE48" s="1090"/>
      <c r="AF48" s="1090"/>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90"/>
      <c r="S49" s="1090"/>
      <c r="T49" s="1090"/>
      <c r="U49" s="1090"/>
      <c r="V49" s="1090"/>
      <c r="W49" s="1090"/>
      <c r="X49" s="1090"/>
      <c r="Y49" s="1090"/>
      <c r="Z49" s="1090"/>
      <c r="AA49" s="1090"/>
      <c r="AB49" s="1090"/>
      <c r="AC49" s="1090"/>
      <c r="AD49" s="1090"/>
      <c r="AE49" s="1090"/>
      <c r="AF49" s="1090"/>
    </row>
    <row r="50" spans="1:32">
      <c r="A50" s="142" t="s">
        <v>313</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90"/>
      <c r="S50" s="1090"/>
      <c r="T50" s="1090"/>
      <c r="U50" s="1090"/>
      <c r="V50" s="1090"/>
      <c r="W50" s="1090"/>
      <c r="X50" s="1090"/>
      <c r="Y50" s="1090"/>
      <c r="Z50" s="1090"/>
      <c r="AA50" s="1090"/>
      <c r="AB50" s="1090"/>
      <c r="AC50" s="1090"/>
      <c r="AD50" s="1090"/>
      <c r="AE50" s="1090"/>
      <c r="AF50" s="1090"/>
    </row>
    <row r="51" spans="1:32">
      <c r="A51" s="142" t="s">
        <v>337</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90"/>
      <c r="S51" s="1090"/>
      <c r="T51" s="1090"/>
      <c r="U51" s="1090"/>
      <c r="V51" s="1090"/>
      <c r="W51" s="1090"/>
      <c r="X51" s="1090"/>
      <c r="Y51" s="1090"/>
      <c r="Z51" s="1090"/>
      <c r="AA51" s="1090"/>
      <c r="AB51" s="1090"/>
      <c r="AC51" s="1090"/>
      <c r="AD51" s="1090"/>
      <c r="AE51" s="1090"/>
      <c r="AF51" s="1090"/>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90"/>
      <c r="S52" s="1090"/>
      <c r="T52" s="1090"/>
      <c r="U52" s="1090"/>
      <c r="V52" s="1090"/>
      <c r="W52" s="1090"/>
      <c r="X52" s="1090"/>
      <c r="Y52" s="1090"/>
      <c r="Z52" s="1090"/>
      <c r="AA52" s="1090"/>
      <c r="AB52" s="1090"/>
      <c r="AC52" s="1090"/>
      <c r="AD52" s="1090"/>
      <c r="AE52" s="1090"/>
      <c r="AF52" s="1090"/>
    </row>
    <row r="53" spans="1:32">
      <c r="A53" s="142" t="s">
        <v>361</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90"/>
      <c r="S53" s="1090"/>
      <c r="T53" s="1090"/>
      <c r="U53" s="1090"/>
      <c r="V53" s="1090"/>
      <c r="W53" s="1090"/>
      <c r="X53" s="1090"/>
      <c r="Y53" s="1090"/>
      <c r="Z53" s="1090"/>
      <c r="AA53" s="1090"/>
      <c r="AB53" s="1090"/>
      <c r="AC53" s="1090"/>
      <c r="AD53" s="1090"/>
      <c r="AE53" s="1090"/>
      <c r="AF53" s="1090"/>
    </row>
    <row r="54" spans="1:32">
      <c r="A54" s="142" t="s">
        <v>308</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90"/>
      <c r="S54" s="1090"/>
      <c r="T54" s="1090"/>
      <c r="U54" s="1090"/>
      <c r="V54" s="1090"/>
      <c r="W54" s="1090"/>
      <c r="X54" s="1090"/>
      <c r="Y54" s="1090"/>
      <c r="Z54" s="1090"/>
      <c r="AA54" s="1090"/>
      <c r="AB54" s="1090"/>
      <c r="AC54" s="1090"/>
      <c r="AD54" s="1090"/>
      <c r="AE54" s="1090"/>
      <c r="AF54" s="1090"/>
    </row>
    <row r="55" spans="1:32">
      <c r="A55" s="138" t="s">
        <v>1078</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90"/>
      <c r="S55" s="1090"/>
      <c r="T55" s="1090"/>
      <c r="U55" s="1090"/>
      <c r="V55" s="1090"/>
      <c r="W55" s="1090"/>
      <c r="X55" s="1090"/>
      <c r="Y55" s="1090"/>
      <c r="Z55" s="1090"/>
      <c r="AA55" s="1090"/>
      <c r="AB55" s="1090"/>
      <c r="AC55" s="1090"/>
      <c r="AD55" s="1090"/>
      <c r="AE55" s="1090"/>
      <c r="AF55" s="1090"/>
    </row>
    <row r="56" spans="1:32" ht="30" customHeight="1">
      <c r="A56" s="140" t="s">
        <v>100</v>
      </c>
      <c r="B56" s="140" t="s">
        <v>101</v>
      </c>
      <c r="C56" s="140" t="s">
        <v>131</v>
      </c>
      <c r="D56" s="189" t="s">
        <v>898</v>
      </c>
      <c r="E56" s="189" t="s">
        <v>899</v>
      </c>
      <c r="F56" s="189" t="s">
        <v>900</v>
      </c>
      <c r="G56" s="189" t="s">
        <v>901</v>
      </c>
      <c r="H56" s="189" t="s">
        <v>902</v>
      </c>
      <c r="I56" s="189" t="s">
        <v>903</v>
      </c>
      <c r="J56" s="189" t="s">
        <v>904</v>
      </c>
      <c r="K56" s="189" t="s">
        <v>1093</v>
      </c>
      <c r="L56" s="189" t="s">
        <v>1094</v>
      </c>
      <c r="M56" s="189" t="s">
        <v>1095</v>
      </c>
      <c r="N56" s="189" t="s">
        <v>905</v>
      </c>
      <c r="O56" s="189" t="s">
        <v>1096</v>
      </c>
      <c r="P56" s="189" t="s">
        <v>1097</v>
      </c>
      <c r="Q56" s="189" t="s">
        <v>1098</v>
      </c>
      <c r="R56" s="1088" t="s">
        <v>123</v>
      </c>
      <c r="S56" s="1088"/>
      <c r="T56" s="1088"/>
      <c r="U56" s="1088"/>
      <c r="V56" s="1088"/>
      <c r="W56" s="1088"/>
      <c r="X56" s="1088"/>
      <c r="Y56" s="1088"/>
      <c r="Z56" s="1088"/>
      <c r="AA56" s="1088"/>
      <c r="AB56" s="1088"/>
      <c r="AC56" s="1088"/>
      <c r="AD56" s="1088"/>
      <c r="AE56" s="1088"/>
      <c r="AF56" s="1088"/>
    </row>
    <row r="57" spans="1:32">
      <c r="A57" s="138" t="s">
        <v>1099</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090" t="s">
        <v>1100</v>
      </c>
      <c r="S57" s="1090"/>
      <c r="T57" s="1090"/>
      <c r="U57" s="1090"/>
      <c r="V57" s="1090"/>
      <c r="W57" s="1090"/>
      <c r="X57" s="1090"/>
      <c r="Y57" s="1090"/>
      <c r="Z57" s="1090"/>
      <c r="AA57" s="1090"/>
      <c r="AB57" s="1090"/>
      <c r="AC57" s="1090"/>
      <c r="AD57" s="1090"/>
      <c r="AE57" s="1090"/>
      <c r="AF57" s="1090"/>
    </row>
    <row r="59" spans="1:32" s="193" customFormat="1" ht="30" customHeight="1">
      <c r="A59" s="1122" t="s">
        <v>1101</v>
      </c>
      <c r="B59" s="1123"/>
      <c r="C59" s="1123"/>
      <c r="D59" s="1123"/>
      <c r="E59" s="1123"/>
      <c r="F59" s="1123"/>
      <c r="G59" s="1123"/>
      <c r="H59" s="1123"/>
      <c r="I59" s="1123"/>
      <c r="J59" s="1123"/>
      <c r="K59" s="1123"/>
      <c r="L59" s="1123"/>
      <c r="M59" s="1123"/>
      <c r="N59" s="1123"/>
      <c r="O59" s="1123"/>
      <c r="P59" s="1123"/>
      <c r="Q59" s="1123"/>
      <c r="R59" s="1123"/>
      <c r="S59" s="1123"/>
      <c r="T59" s="1123"/>
      <c r="U59" s="1123"/>
      <c r="V59" s="1123"/>
      <c r="W59" s="1123"/>
      <c r="X59" s="1123"/>
      <c r="Y59" s="1123"/>
      <c r="Z59" s="1123"/>
      <c r="AA59" s="1123"/>
      <c r="AB59" s="1123"/>
      <c r="AC59" s="1123"/>
      <c r="AD59" s="1123"/>
      <c r="AE59" s="1123"/>
      <c r="AF59" s="1123"/>
    </row>
    <row r="60" spans="1:32" ht="30" customHeight="1">
      <c r="A60" s="140" t="s">
        <v>1102</v>
      </c>
      <c r="B60" s="140" t="s">
        <v>101</v>
      </c>
      <c r="C60" s="140" t="s">
        <v>131</v>
      </c>
      <c r="D60" s="140" t="s">
        <v>1024</v>
      </c>
      <c r="E60" s="140" t="s">
        <v>1103</v>
      </c>
      <c r="F60" s="1097" t="s">
        <v>104</v>
      </c>
      <c r="G60" s="1104"/>
      <c r="H60" s="1104"/>
      <c r="I60" s="1098"/>
      <c r="J60" s="1088" t="s">
        <v>1104</v>
      </c>
      <c r="K60" s="1088"/>
    </row>
    <row r="61" spans="1:32">
      <c r="A61" s="1183" t="s">
        <v>1105</v>
      </c>
      <c r="B61" s="1168">
        <v>2020</v>
      </c>
      <c r="C61" s="117" t="s">
        <v>182</v>
      </c>
      <c r="D61" s="117">
        <v>447485231</v>
      </c>
      <c r="E61" s="1168" t="s">
        <v>1106</v>
      </c>
      <c r="F61" s="1170" t="s">
        <v>1107</v>
      </c>
      <c r="G61" s="1171"/>
      <c r="H61" s="1171"/>
      <c r="I61" s="1172"/>
      <c r="J61" s="1182">
        <f>D62/D61</f>
        <v>3.8900915145510133E-2</v>
      </c>
      <c r="K61" s="1182"/>
    </row>
    <row r="62" spans="1:32">
      <c r="A62" s="1184"/>
      <c r="B62" s="1169"/>
      <c r="C62" s="117" t="s">
        <v>180</v>
      </c>
      <c r="D62" s="117">
        <v>17407585</v>
      </c>
      <c r="E62" s="1169"/>
      <c r="F62" s="1173"/>
      <c r="G62" s="1174"/>
      <c r="H62" s="1174"/>
      <c r="I62" s="1175"/>
      <c r="J62" s="1182"/>
      <c r="K62" s="1182"/>
    </row>
    <row r="63" spans="1:32">
      <c r="A63" s="1183" t="s">
        <v>1108</v>
      </c>
      <c r="B63" s="1168">
        <v>2022</v>
      </c>
      <c r="C63" s="117" t="s">
        <v>182</v>
      </c>
      <c r="D63" s="117">
        <v>537.44799999999998</v>
      </c>
      <c r="E63" s="1168" t="s">
        <v>1109</v>
      </c>
      <c r="F63" s="1170" t="s">
        <v>1041</v>
      </c>
      <c r="G63" s="1171"/>
      <c r="H63" s="1171"/>
      <c r="I63" s="1172"/>
      <c r="J63" s="1182">
        <f>D64/D63</f>
        <v>6.7122772807787931E-2</v>
      </c>
      <c r="K63" s="1182"/>
    </row>
    <row r="64" spans="1:32">
      <c r="A64" s="1184"/>
      <c r="B64" s="1169"/>
      <c r="C64" s="117" t="s">
        <v>180</v>
      </c>
      <c r="D64" s="117">
        <v>36.075000000000003</v>
      </c>
      <c r="E64" s="1169"/>
      <c r="F64" s="1173"/>
      <c r="G64" s="1174"/>
      <c r="H64" s="1174"/>
      <c r="I64" s="1175"/>
      <c r="J64" s="1182"/>
      <c r="K64" s="1182"/>
    </row>
    <row r="65" spans="1:32">
      <c r="A65" s="1183" t="s">
        <v>1110</v>
      </c>
      <c r="B65" s="1168">
        <v>2019</v>
      </c>
      <c r="C65" s="117" t="s">
        <v>182</v>
      </c>
      <c r="D65" s="117">
        <v>72.855500000000006</v>
      </c>
      <c r="E65" s="1168" t="s">
        <v>1109</v>
      </c>
      <c r="F65" s="1176" t="s">
        <v>1111</v>
      </c>
      <c r="G65" s="1177"/>
      <c r="H65" s="1177"/>
      <c r="I65" s="1178"/>
      <c r="J65" s="1182">
        <f>D66/D65</f>
        <v>0.12239432849956419</v>
      </c>
      <c r="K65" s="1182"/>
    </row>
    <row r="66" spans="1:32">
      <c r="A66" s="1184"/>
      <c r="B66" s="1169"/>
      <c r="C66" s="117" t="s">
        <v>180</v>
      </c>
      <c r="D66" s="117">
        <v>8.9170999999999996</v>
      </c>
      <c r="E66" s="1169"/>
      <c r="F66" s="1179"/>
      <c r="G66" s="1180"/>
      <c r="H66" s="1180"/>
      <c r="I66" s="1181"/>
      <c r="J66" s="1182"/>
      <c r="K66" s="1182"/>
    </row>
    <row r="67" spans="1:32">
      <c r="T67" s="194"/>
      <c r="AA67" s="25"/>
    </row>
    <row r="68" spans="1:32" ht="30" customHeight="1">
      <c r="A68" s="1100" t="s">
        <v>763</v>
      </c>
      <c r="B68" s="1100"/>
      <c r="C68" s="1100"/>
      <c r="D68" s="1100"/>
      <c r="E68" s="1100"/>
      <c r="F68" s="1100"/>
      <c r="G68" s="1100"/>
      <c r="H68" s="1100"/>
      <c r="I68" s="1100"/>
      <c r="J68" s="1100"/>
      <c r="K68" s="1100"/>
      <c r="L68" s="1100"/>
      <c r="M68" s="1100"/>
      <c r="N68" s="1100"/>
      <c r="O68" s="1100"/>
      <c r="P68" s="1100"/>
      <c r="Q68" s="1100"/>
      <c r="R68" s="1100"/>
      <c r="S68" s="1100"/>
      <c r="T68" s="1100"/>
      <c r="U68" s="1100"/>
      <c r="V68" s="1100"/>
      <c r="W68" s="1100"/>
      <c r="X68" s="1100"/>
      <c r="Y68" s="1100"/>
      <c r="Z68" s="1100"/>
      <c r="AA68" s="1100"/>
      <c r="AB68" s="1100"/>
      <c r="AC68" s="1100"/>
      <c r="AD68" s="1100"/>
      <c r="AE68" s="1100"/>
      <c r="AF68" s="1100"/>
    </row>
    <row r="69" spans="1:32" ht="30" customHeight="1">
      <c r="A69" s="139" t="s">
        <v>100</v>
      </c>
      <c r="B69" s="139" t="s">
        <v>101</v>
      </c>
      <c r="C69" s="139" t="s">
        <v>131</v>
      </c>
      <c r="D69" s="139" t="s">
        <v>1058</v>
      </c>
      <c r="E69" s="139" t="s">
        <v>1059</v>
      </c>
      <c r="F69" s="139" t="s">
        <v>1060</v>
      </c>
      <c r="G69" s="1114" t="s">
        <v>104</v>
      </c>
      <c r="H69" s="1115"/>
      <c r="I69" s="1115"/>
      <c r="J69" s="1115"/>
      <c r="K69" s="1115"/>
      <c r="L69" s="1116"/>
      <c r="M69" s="1088" t="s">
        <v>892</v>
      </c>
      <c r="N69" s="1088"/>
      <c r="O69" s="1088"/>
      <c r="P69" s="1088"/>
      <c r="Q69" s="1088"/>
      <c r="R69" s="1088" t="s">
        <v>123</v>
      </c>
      <c r="S69" s="1088"/>
      <c r="T69" s="1088"/>
      <c r="U69" s="1088"/>
      <c r="V69" s="1088"/>
      <c r="W69" s="1088"/>
      <c r="X69" s="1088"/>
      <c r="Y69" s="1088"/>
      <c r="Z69" s="1088"/>
      <c r="AA69" s="1088"/>
      <c r="AB69" s="1088"/>
      <c r="AC69" s="1088"/>
      <c r="AD69" s="1088"/>
      <c r="AE69" s="1088"/>
      <c r="AF69" s="1088"/>
    </row>
    <row r="70" spans="1:32">
      <c r="A70" s="142" t="s">
        <v>1050</v>
      </c>
      <c r="B70" s="117">
        <v>2020</v>
      </c>
      <c r="C70" s="126" t="s">
        <v>180</v>
      </c>
      <c r="D70" s="185">
        <f t="shared" ref="D70:F71" si="24">D30*POP_coef_2020</f>
        <v>155.60366058204053</v>
      </c>
      <c r="E70" s="185">
        <f t="shared" si="24"/>
        <v>338.43796176593816</v>
      </c>
      <c r="F70" s="185">
        <f t="shared" si="24"/>
        <v>521.27226294983575</v>
      </c>
      <c r="G70" s="1156" t="s">
        <v>1112</v>
      </c>
      <c r="H70" s="1157"/>
      <c r="I70" s="1157"/>
      <c r="J70" s="1157"/>
      <c r="K70" s="1157"/>
      <c r="L70" s="1158"/>
      <c r="M70" s="1090" t="s">
        <v>1063</v>
      </c>
      <c r="N70" s="1090"/>
      <c r="O70" s="1090"/>
      <c r="P70" s="1090"/>
      <c r="Q70" s="1090"/>
      <c r="R70" s="1090"/>
      <c r="S70" s="1090"/>
      <c r="T70" s="1090"/>
      <c r="U70" s="1090"/>
      <c r="V70" s="1090"/>
      <c r="W70" s="1090"/>
      <c r="X70" s="1090"/>
      <c r="Y70" s="1090"/>
      <c r="Z70" s="1090"/>
      <c r="AA70" s="1090"/>
      <c r="AB70" s="1090"/>
      <c r="AC70" s="1090"/>
      <c r="AD70" s="1090"/>
      <c r="AE70" s="1090"/>
      <c r="AF70" s="1090"/>
    </row>
    <row r="71" spans="1:32">
      <c r="A71" s="142" t="s">
        <v>227</v>
      </c>
      <c r="B71" s="117">
        <v>2020</v>
      </c>
      <c r="C71" s="126" t="s">
        <v>180</v>
      </c>
      <c r="D71" s="185">
        <f t="shared" si="24"/>
        <v>435.69024962971349</v>
      </c>
      <c r="E71" s="185">
        <f t="shared" si="24"/>
        <v>657.4254659591212</v>
      </c>
      <c r="F71" s="185">
        <f t="shared" si="24"/>
        <v>886.94086531763105</v>
      </c>
      <c r="G71" s="1156" t="s">
        <v>1112</v>
      </c>
      <c r="H71" s="1157"/>
      <c r="I71" s="1157"/>
      <c r="J71" s="1157"/>
      <c r="K71" s="1157"/>
      <c r="L71" s="1158"/>
      <c r="M71" s="1090" t="s">
        <v>1063</v>
      </c>
      <c r="N71" s="1090"/>
      <c r="O71" s="1090"/>
      <c r="P71" s="1090"/>
      <c r="Q71" s="1090"/>
      <c r="R71" s="1090"/>
      <c r="S71" s="1090"/>
      <c r="T71" s="1090"/>
      <c r="U71" s="1090"/>
      <c r="V71" s="1090"/>
      <c r="W71" s="1090"/>
      <c r="X71" s="1090"/>
      <c r="Y71" s="1090"/>
      <c r="Z71" s="1090"/>
      <c r="AA71" s="1090"/>
      <c r="AB71" s="1090"/>
      <c r="AC71" s="1090"/>
      <c r="AD71" s="1090"/>
      <c r="AE71" s="1090"/>
      <c r="AF71" s="1090"/>
    </row>
    <row r="72" spans="1:32" ht="14.4" customHeight="1">
      <c r="A72" s="142" t="s">
        <v>156</v>
      </c>
      <c r="B72" s="117">
        <v>2020</v>
      </c>
      <c r="C72" s="126" t="s">
        <v>180</v>
      </c>
      <c r="D72" s="185">
        <f t="shared" ref="D72:F75" si="25">D32*Aggr_2021</f>
        <v>67.122772807787925</v>
      </c>
      <c r="E72" s="185">
        <f t="shared" si="25"/>
        <v>671.22772807787931</v>
      </c>
      <c r="F72" s="185">
        <f t="shared" si="25"/>
        <v>1141.0871377323949</v>
      </c>
      <c r="G72" s="1156" t="s">
        <v>1113</v>
      </c>
      <c r="H72" s="1157"/>
      <c r="I72" s="1157"/>
      <c r="J72" s="1157"/>
      <c r="K72" s="1157"/>
      <c r="L72" s="1158"/>
      <c r="M72" s="1090" t="s">
        <v>1066</v>
      </c>
      <c r="N72" s="1090"/>
      <c r="O72" s="1090"/>
      <c r="P72" s="1090"/>
      <c r="Q72" s="1090"/>
      <c r="R72" s="1090"/>
      <c r="S72" s="1090"/>
      <c r="T72" s="1090"/>
      <c r="U72" s="1090"/>
      <c r="V72" s="1090"/>
      <c r="W72" s="1090"/>
      <c r="X72" s="1090"/>
      <c r="Y72" s="1090"/>
      <c r="Z72" s="1090"/>
      <c r="AA72" s="1090"/>
      <c r="AB72" s="1090"/>
      <c r="AC72" s="1090"/>
      <c r="AD72" s="1090"/>
      <c r="AE72" s="1090"/>
      <c r="AF72" s="1090"/>
    </row>
    <row r="73" spans="1:32">
      <c r="A73" s="142" t="s">
        <v>159</v>
      </c>
      <c r="B73" s="117">
        <v>2020</v>
      </c>
      <c r="C73" s="126" t="s">
        <v>180</v>
      </c>
      <c r="D73" s="185">
        <f t="shared" si="25"/>
        <v>134.24554561557585</v>
      </c>
      <c r="E73" s="185">
        <f t="shared" si="25"/>
        <v>268.4910912311517</v>
      </c>
      <c r="F73" s="185">
        <f t="shared" si="25"/>
        <v>402.73663684672761</v>
      </c>
      <c r="G73" s="1156" t="s">
        <v>1113</v>
      </c>
      <c r="H73" s="1157"/>
      <c r="I73" s="1157"/>
      <c r="J73" s="1157"/>
      <c r="K73" s="1157"/>
      <c r="L73" s="1158"/>
      <c r="M73" s="1090" t="s">
        <v>1066</v>
      </c>
      <c r="N73" s="1090"/>
      <c r="O73" s="1090"/>
      <c r="P73" s="1090"/>
      <c r="Q73" s="1090"/>
      <c r="R73" s="1090"/>
      <c r="S73" s="1090"/>
      <c r="T73" s="1090"/>
      <c r="U73" s="1090"/>
      <c r="V73" s="1090"/>
      <c r="W73" s="1090"/>
      <c r="X73" s="1090"/>
      <c r="Y73" s="1090"/>
      <c r="Z73" s="1090"/>
      <c r="AA73" s="1090"/>
      <c r="AB73" s="1090"/>
      <c r="AC73" s="1090"/>
      <c r="AD73" s="1090"/>
      <c r="AE73" s="1090"/>
      <c r="AF73" s="1090"/>
    </row>
    <row r="74" spans="1:32">
      <c r="A74" s="142" t="s">
        <v>160</v>
      </c>
      <c r="B74" s="117">
        <v>2020</v>
      </c>
      <c r="C74" s="126" t="s">
        <v>180</v>
      </c>
      <c r="D74" s="185">
        <f t="shared" si="25"/>
        <v>6.7122772807787934</v>
      </c>
      <c r="E74" s="185">
        <f t="shared" si="25"/>
        <v>33.561386403893962</v>
      </c>
      <c r="F74" s="185">
        <f t="shared" si="25"/>
        <v>46.985940965451555</v>
      </c>
      <c r="G74" s="1156" t="s">
        <v>1113</v>
      </c>
      <c r="H74" s="1157"/>
      <c r="I74" s="1157"/>
      <c r="J74" s="1157"/>
      <c r="K74" s="1157"/>
      <c r="L74" s="1158"/>
      <c r="M74" s="1090" t="s">
        <v>1066</v>
      </c>
      <c r="N74" s="1090"/>
      <c r="O74" s="1090"/>
      <c r="P74" s="1090"/>
      <c r="Q74" s="1090"/>
      <c r="R74" s="1090"/>
      <c r="S74" s="1090"/>
      <c r="T74" s="1090"/>
      <c r="U74" s="1090"/>
      <c r="V74" s="1090"/>
      <c r="W74" s="1090"/>
      <c r="X74" s="1090"/>
      <c r="Y74" s="1090"/>
      <c r="Z74" s="1090"/>
      <c r="AA74" s="1090"/>
      <c r="AB74" s="1090"/>
      <c r="AC74" s="1090"/>
      <c r="AD74" s="1090"/>
      <c r="AE74" s="1090"/>
      <c r="AF74" s="1090"/>
    </row>
    <row r="75" spans="1:32">
      <c r="A75" s="142" t="s">
        <v>161</v>
      </c>
      <c r="B75" s="117">
        <v>2020</v>
      </c>
      <c r="C75" s="126" t="s">
        <v>180</v>
      </c>
      <c r="D75" s="185">
        <f t="shared" si="25"/>
        <v>16.780693201946981</v>
      </c>
      <c r="E75" s="185">
        <f t="shared" si="25"/>
        <v>33.561386403893962</v>
      </c>
      <c r="F75" s="185">
        <f t="shared" si="25"/>
        <v>67.122772807787925</v>
      </c>
      <c r="G75" s="1156" t="s">
        <v>1113</v>
      </c>
      <c r="H75" s="1157"/>
      <c r="I75" s="1157"/>
      <c r="J75" s="1157"/>
      <c r="K75" s="1157"/>
      <c r="L75" s="1158"/>
      <c r="M75" s="1090" t="s">
        <v>1066</v>
      </c>
      <c r="N75" s="1090"/>
      <c r="O75" s="1090"/>
      <c r="P75" s="1090"/>
      <c r="Q75" s="1090"/>
      <c r="R75" s="1090"/>
      <c r="S75" s="1090"/>
      <c r="T75" s="1090"/>
      <c r="U75" s="1090"/>
      <c r="V75" s="1090"/>
      <c r="W75" s="1090"/>
      <c r="X75" s="1090"/>
      <c r="Y75" s="1090"/>
      <c r="Z75" s="1090"/>
      <c r="AA75" s="1090"/>
      <c r="AB75" s="1090"/>
      <c r="AC75" s="1090"/>
      <c r="AD75" s="1090"/>
      <c r="AE75" s="1090"/>
      <c r="AF75" s="1090"/>
    </row>
    <row r="76" spans="1:32">
      <c r="A76" s="142" t="s">
        <v>313</v>
      </c>
      <c r="B76" s="117">
        <v>2020</v>
      </c>
      <c r="C76" s="126" t="s">
        <v>180</v>
      </c>
      <c r="D76" s="185">
        <f t="shared" ref="D76:F78" si="26">D36*POP_coef_2020</f>
        <v>2.0423952974271455</v>
      </c>
      <c r="E76" s="185">
        <f t="shared" si="26"/>
        <v>4.0847905948542911</v>
      </c>
      <c r="F76" s="185">
        <f t="shared" si="26"/>
        <v>8.1695811897085822</v>
      </c>
      <c r="G76" s="1156" t="s">
        <v>1112</v>
      </c>
      <c r="H76" s="1157"/>
      <c r="I76" s="1157"/>
      <c r="J76" s="1157"/>
      <c r="K76" s="1157"/>
      <c r="L76" s="1158"/>
      <c r="M76" s="1090" t="s">
        <v>1071</v>
      </c>
      <c r="N76" s="1090"/>
      <c r="O76" s="1090"/>
      <c r="P76" s="1090"/>
      <c r="Q76" s="1090"/>
      <c r="R76" s="1090"/>
      <c r="S76" s="1090"/>
      <c r="T76" s="1090"/>
      <c r="U76" s="1090"/>
      <c r="V76" s="1090"/>
      <c r="W76" s="1090"/>
      <c r="X76" s="1090"/>
      <c r="Y76" s="1090"/>
      <c r="Z76" s="1090"/>
      <c r="AA76" s="1090"/>
      <c r="AB76" s="1090"/>
      <c r="AC76" s="1090"/>
      <c r="AD76" s="1090"/>
      <c r="AE76" s="1090"/>
      <c r="AF76" s="1090"/>
    </row>
    <row r="77" spans="1:32">
      <c r="A77" s="142" t="s">
        <v>337</v>
      </c>
      <c r="B77" s="117">
        <v>2020</v>
      </c>
      <c r="C77" s="126" t="s">
        <v>180</v>
      </c>
      <c r="D77" s="185">
        <f t="shared" si="26"/>
        <v>31.120732116408107</v>
      </c>
      <c r="E77" s="185">
        <f t="shared" si="26"/>
        <v>89.472104834673303</v>
      </c>
      <c r="F77" s="185">
        <f t="shared" si="26"/>
        <v>143.93338603838748</v>
      </c>
      <c r="G77" s="1156" t="s">
        <v>1112</v>
      </c>
      <c r="H77" s="1157"/>
      <c r="I77" s="1157"/>
      <c r="J77" s="1157"/>
      <c r="K77" s="1157"/>
      <c r="L77" s="1158"/>
      <c r="M77" s="1090" t="s">
        <v>1071</v>
      </c>
      <c r="N77" s="1090"/>
      <c r="O77" s="1090"/>
      <c r="P77" s="1090"/>
      <c r="Q77" s="1090"/>
      <c r="R77" s="1090"/>
      <c r="S77" s="1090"/>
      <c r="T77" s="1090"/>
      <c r="U77" s="1090"/>
      <c r="V77" s="1090"/>
      <c r="W77" s="1090"/>
      <c r="X77" s="1090"/>
      <c r="Y77" s="1090"/>
      <c r="Z77" s="1090"/>
      <c r="AA77" s="1090"/>
      <c r="AB77" s="1090"/>
      <c r="AC77" s="1090"/>
      <c r="AD77" s="1090"/>
      <c r="AE77" s="1090"/>
      <c r="AF77" s="1090"/>
    </row>
    <row r="78" spans="1:32">
      <c r="A78" s="142" t="s">
        <v>268</v>
      </c>
      <c r="B78" s="117">
        <v>2020</v>
      </c>
      <c r="C78" s="126" t="s">
        <v>180</v>
      </c>
      <c r="D78" s="185">
        <f t="shared" si="26"/>
        <v>31.120732116408107</v>
      </c>
      <c r="E78" s="185">
        <f t="shared" si="26"/>
        <v>89.472104834673303</v>
      </c>
      <c r="F78" s="185">
        <f t="shared" si="26"/>
        <v>143.93338603838748</v>
      </c>
      <c r="G78" s="1156" t="s">
        <v>1112</v>
      </c>
      <c r="H78" s="1157"/>
      <c r="I78" s="1157"/>
      <c r="J78" s="1157"/>
      <c r="K78" s="1157"/>
      <c r="L78" s="1158"/>
      <c r="M78" s="1090" t="s">
        <v>1071</v>
      </c>
      <c r="N78" s="1090"/>
      <c r="O78" s="1090"/>
      <c r="P78" s="1090"/>
      <c r="Q78" s="1090"/>
      <c r="R78" s="1090"/>
      <c r="S78" s="1090"/>
      <c r="T78" s="1090"/>
      <c r="U78" s="1090"/>
      <c r="V78" s="1090"/>
      <c r="W78" s="1090"/>
      <c r="X78" s="1090"/>
      <c r="Y78" s="1090"/>
      <c r="Z78" s="1090"/>
      <c r="AA78" s="1090"/>
      <c r="AB78" s="1090"/>
      <c r="AC78" s="1090"/>
      <c r="AD78" s="1090"/>
      <c r="AE78" s="1090"/>
      <c r="AF78" s="1090"/>
    </row>
    <row r="79" spans="1:32">
      <c r="A79" s="142" t="s">
        <v>361</v>
      </c>
      <c r="B79" s="117">
        <v>2020</v>
      </c>
      <c r="C79" s="126" t="s">
        <v>180</v>
      </c>
      <c r="D79" s="185">
        <f>D39*OIL_GAS_2020</f>
        <v>109.84890982835886</v>
      </c>
      <c r="E79" s="185">
        <f>E39*OIL_GAS_2020</f>
        <v>219.69781965671771</v>
      </c>
      <c r="F79" s="185">
        <f>F39*OIL_GAS_2020</f>
        <v>439.39563931343542</v>
      </c>
      <c r="G79" s="1156" t="s">
        <v>1112</v>
      </c>
      <c r="H79" s="1157"/>
      <c r="I79" s="1157"/>
      <c r="J79" s="1157"/>
      <c r="K79" s="1157"/>
      <c r="L79" s="1158"/>
      <c r="M79" s="1090" t="s">
        <v>1075</v>
      </c>
      <c r="N79" s="1090"/>
      <c r="O79" s="1090"/>
      <c r="P79" s="1090"/>
      <c r="Q79" s="1090"/>
      <c r="R79" s="1090"/>
      <c r="S79" s="1090"/>
      <c r="T79" s="1090"/>
      <c r="U79" s="1090"/>
      <c r="V79" s="1090"/>
      <c r="W79" s="1090"/>
      <c r="X79" s="1090"/>
      <c r="Y79" s="1090"/>
      <c r="Z79" s="1090"/>
      <c r="AA79" s="1090"/>
      <c r="AB79" s="1090"/>
      <c r="AC79" s="1090"/>
      <c r="AD79" s="1090"/>
      <c r="AE79" s="1090"/>
      <c r="AF79" s="1090"/>
    </row>
    <row r="80" spans="1:32">
      <c r="A80" s="142" t="s">
        <v>308</v>
      </c>
      <c r="B80" s="117">
        <v>2020</v>
      </c>
      <c r="C80" s="126" t="s">
        <v>180</v>
      </c>
      <c r="D80" s="185"/>
      <c r="E80" s="377">
        <v>12105</v>
      </c>
      <c r="F80" s="185"/>
      <c r="G80" s="1129" t="s">
        <v>1114</v>
      </c>
      <c r="H80" s="1129"/>
      <c r="I80" s="1129"/>
      <c r="J80" s="1129"/>
      <c r="K80" s="1129"/>
      <c r="L80" s="1129"/>
      <c r="M80" s="1129" t="s">
        <v>1077</v>
      </c>
      <c r="N80" s="1129"/>
      <c r="O80" s="1129"/>
      <c r="P80" s="1129"/>
      <c r="Q80" s="1129"/>
      <c r="R80" s="1090"/>
      <c r="S80" s="1090"/>
      <c r="T80" s="1090"/>
      <c r="U80" s="1090"/>
      <c r="V80" s="1090"/>
      <c r="W80" s="1090"/>
      <c r="X80" s="1090"/>
      <c r="Y80" s="1090"/>
      <c r="Z80" s="1090"/>
      <c r="AA80" s="1090"/>
      <c r="AB80" s="1090"/>
      <c r="AC80" s="1090"/>
      <c r="AD80" s="1090"/>
      <c r="AE80" s="1090"/>
      <c r="AF80" s="1090"/>
    </row>
    <row r="81" spans="1:32">
      <c r="A81" s="138" t="s">
        <v>1078</v>
      </c>
      <c r="B81" s="127">
        <v>2020</v>
      </c>
      <c r="C81" s="129" t="s">
        <v>180</v>
      </c>
      <c r="D81" s="184">
        <f>SUM(D70:D80)</f>
        <v>990.28796847644583</v>
      </c>
      <c r="E81" s="184">
        <f>SUM(E70:E80)</f>
        <v>14510.431839762798</v>
      </c>
      <c r="F81" s="184">
        <f>SUM(F70:F80)</f>
        <v>3801.5776091997477</v>
      </c>
      <c r="G81" s="1130"/>
      <c r="H81" s="1130"/>
      <c r="I81" s="1130"/>
      <c r="J81" s="1130"/>
      <c r="K81" s="1130"/>
      <c r="L81" s="1130"/>
      <c r="M81" s="1090"/>
      <c r="N81" s="1090"/>
      <c r="O81" s="1090"/>
      <c r="P81" s="1090"/>
      <c r="Q81" s="1090"/>
      <c r="R81" s="1090"/>
      <c r="S81" s="1090"/>
      <c r="T81" s="1090"/>
      <c r="U81" s="1090"/>
      <c r="V81" s="1090"/>
      <c r="W81" s="1090"/>
      <c r="X81" s="1090"/>
      <c r="Y81" s="1090"/>
      <c r="Z81" s="1090"/>
      <c r="AA81" s="1090"/>
      <c r="AB81" s="1090"/>
      <c r="AC81" s="1090"/>
      <c r="AD81" s="1090"/>
      <c r="AE81" s="1090"/>
      <c r="AF81" s="1090"/>
    </row>
    <row r="82" spans="1:32">
      <c r="A82" s="873"/>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1115</v>
      </c>
      <c r="E84" s="436"/>
      <c r="F84" s="436"/>
      <c r="G84" s="872" t="s">
        <v>104</v>
      </c>
      <c r="H84" s="380"/>
      <c r="I84" s="380"/>
      <c r="J84" s="380"/>
      <c r="K84" s="380"/>
      <c r="L84" s="381"/>
    </row>
    <row r="85" spans="1:32" s="378" customFormat="1">
      <c r="A85" s="143" t="s">
        <v>308</v>
      </c>
      <c r="B85" s="7">
        <v>2016</v>
      </c>
      <c r="C85" s="7" t="s">
        <v>180</v>
      </c>
      <c r="D85" s="7">
        <v>18000</v>
      </c>
      <c r="E85" s="436"/>
      <c r="F85" s="436"/>
      <c r="G85" s="436" t="s">
        <v>1114</v>
      </c>
      <c r="H85" s="380"/>
      <c r="I85" s="380"/>
      <c r="J85" s="380"/>
      <c r="K85" s="380"/>
      <c r="L85" s="381"/>
    </row>
    <row r="86" spans="1:32" s="378" customFormat="1">
      <c r="A86" s="143" t="s">
        <v>308</v>
      </c>
      <c r="B86" s="7">
        <v>2019</v>
      </c>
      <c r="C86" s="7" t="s">
        <v>180</v>
      </c>
      <c r="D86" s="7">
        <v>11400</v>
      </c>
      <c r="E86" s="436"/>
      <c r="F86" s="436"/>
      <c r="G86" s="436" t="s">
        <v>1114</v>
      </c>
      <c r="H86" s="380"/>
      <c r="I86" s="380"/>
      <c r="J86" s="380"/>
      <c r="K86" s="380"/>
      <c r="L86" s="381"/>
    </row>
    <row r="87" spans="1:32" s="378" customFormat="1">
      <c r="A87" s="143" t="s">
        <v>308</v>
      </c>
      <c r="B87" s="7">
        <v>2020</v>
      </c>
      <c r="C87" s="7" t="s">
        <v>180</v>
      </c>
      <c r="D87" s="7">
        <v>12105</v>
      </c>
      <c r="E87" s="436"/>
      <c r="F87" s="436"/>
      <c r="G87" s="436" t="s">
        <v>1114</v>
      </c>
      <c r="H87" s="380"/>
      <c r="I87" s="380"/>
      <c r="J87" s="380"/>
      <c r="K87" s="380"/>
      <c r="L87" s="381"/>
    </row>
    <row r="88" spans="1:32" s="378" customFormat="1">
      <c r="A88" s="143" t="s">
        <v>308</v>
      </c>
      <c r="B88" s="7">
        <v>2021</v>
      </c>
      <c r="C88" s="7" t="s">
        <v>180</v>
      </c>
      <c r="D88" s="7">
        <v>10331</v>
      </c>
      <c r="E88" s="436"/>
      <c r="F88" s="436"/>
      <c r="G88" s="436" t="s">
        <v>1114</v>
      </c>
      <c r="H88" s="380"/>
      <c r="I88" s="380"/>
      <c r="J88" s="380"/>
      <c r="K88" s="380"/>
      <c r="L88" s="381"/>
    </row>
    <row r="89" spans="1:32" s="378" customFormat="1">
      <c r="A89" s="143" t="s">
        <v>308</v>
      </c>
      <c r="B89" s="7">
        <v>2030</v>
      </c>
      <c r="C89" s="7" t="s">
        <v>180</v>
      </c>
      <c r="D89" s="7">
        <v>100</v>
      </c>
      <c r="E89" s="436"/>
      <c r="F89" s="436"/>
      <c r="G89" s="436" t="s">
        <v>1116</v>
      </c>
      <c r="H89" s="380"/>
      <c r="I89" s="380"/>
      <c r="J89" s="380"/>
      <c r="K89" s="380"/>
      <c r="L89" s="381"/>
    </row>
    <row r="90" spans="1:32" s="378" customFormat="1">
      <c r="A90" s="143" t="s">
        <v>308</v>
      </c>
      <c r="B90" s="7">
        <v>2040</v>
      </c>
      <c r="C90" s="7" t="s">
        <v>180</v>
      </c>
      <c r="D90" s="7">
        <v>0</v>
      </c>
      <c r="E90" s="436"/>
      <c r="F90" s="436"/>
      <c r="G90" s="436" t="s">
        <v>1117</v>
      </c>
      <c r="H90" s="380"/>
      <c r="I90" s="380"/>
      <c r="J90" s="380"/>
      <c r="K90" s="380"/>
      <c r="L90" s="381"/>
    </row>
    <row r="91" spans="1:32">
      <c r="E91"/>
      <c r="F91"/>
      <c r="G91"/>
      <c r="H91"/>
      <c r="I91"/>
      <c r="J91"/>
      <c r="K91"/>
    </row>
    <row r="92" spans="1:32" ht="30" customHeight="1">
      <c r="A92" s="140" t="s">
        <v>100</v>
      </c>
      <c r="B92" s="140" t="s">
        <v>101</v>
      </c>
      <c r="C92" s="140" t="s">
        <v>131</v>
      </c>
      <c r="D92" s="189" t="s">
        <v>1079</v>
      </c>
      <c r="E92" s="189" t="s">
        <v>1080</v>
      </c>
      <c r="F92" s="189" t="s">
        <v>1081</v>
      </c>
      <c r="G92" s="189" t="s">
        <v>1082</v>
      </c>
      <c r="H92" s="189" t="s">
        <v>1083</v>
      </c>
      <c r="I92" s="189" t="s">
        <v>1084</v>
      </c>
      <c r="J92" s="189" t="s">
        <v>1085</v>
      </c>
      <c r="K92" s="189" t="s">
        <v>1086</v>
      </c>
      <c r="L92" s="189" t="s">
        <v>1087</v>
      </c>
      <c r="M92" s="189" t="s">
        <v>1088</v>
      </c>
      <c r="N92" s="189" t="s">
        <v>1089</v>
      </c>
      <c r="O92" s="189" t="s">
        <v>1090</v>
      </c>
      <c r="P92" s="189" t="s">
        <v>1091</v>
      </c>
      <c r="Q92" s="189" t="s">
        <v>1092</v>
      </c>
      <c r="R92" s="1088" t="s">
        <v>123</v>
      </c>
      <c r="S92" s="1088"/>
      <c r="T92" s="1088"/>
      <c r="U92" s="1088"/>
      <c r="V92" s="1088"/>
      <c r="W92" s="1088"/>
      <c r="X92" s="1088"/>
      <c r="Y92" s="1088"/>
      <c r="Z92" s="1088"/>
      <c r="AA92" s="1088"/>
      <c r="AB92" s="1088"/>
      <c r="AC92" s="1088"/>
      <c r="AD92" s="1088"/>
      <c r="AE92" s="1088"/>
      <c r="AF92" s="1088"/>
    </row>
    <row r="93" spans="1:32">
      <c r="A93" s="142" t="s">
        <v>1050</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090"/>
      <c r="S93" s="1090"/>
      <c r="T93" s="1090"/>
      <c r="U93" s="1090"/>
      <c r="V93" s="1090"/>
      <c r="W93" s="1090"/>
      <c r="X93" s="1090"/>
      <c r="Y93" s="1090"/>
      <c r="Z93" s="1090"/>
      <c r="AA93" s="1090"/>
      <c r="AB93" s="1090"/>
      <c r="AC93" s="1090"/>
      <c r="AD93" s="1090"/>
      <c r="AE93" s="1090"/>
      <c r="AF93" s="1090"/>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090"/>
      <c r="S94" s="1090"/>
      <c r="T94" s="1090"/>
      <c r="U94" s="1090"/>
      <c r="V94" s="1090"/>
      <c r="W94" s="1090"/>
      <c r="X94" s="1090"/>
      <c r="Y94" s="1090"/>
      <c r="Z94" s="1090"/>
      <c r="AA94" s="1090"/>
      <c r="AB94" s="1090"/>
      <c r="AC94" s="1090"/>
      <c r="AD94" s="1090"/>
      <c r="AE94" s="1090"/>
      <c r="AF94" s="1090"/>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090"/>
      <c r="S95" s="1090"/>
      <c r="T95" s="1090"/>
      <c r="U95" s="1090"/>
      <c r="V95" s="1090"/>
      <c r="W95" s="1090"/>
      <c r="X95" s="1090"/>
      <c r="Y95" s="1090"/>
      <c r="Z95" s="1090"/>
      <c r="AA95" s="1090"/>
      <c r="AB95" s="1090"/>
      <c r="AC95" s="1090"/>
      <c r="AD95" s="1090"/>
      <c r="AE95" s="1090"/>
      <c r="AF95" s="1090"/>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090"/>
      <c r="S96" s="1090"/>
      <c r="T96" s="1090"/>
      <c r="U96" s="1090"/>
      <c r="V96" s="1090"/>
      <c r="W96" s="1090"/>
      <c r="X96" s="1090"/>
      <c r="Y96" s="1090"/>
      <c r="Z96" s="1090"/>
      <c r="AA96" s="1090"/>
      <c r="AB96" s="1090"/>
      <c r="AC96" s="1090"/>
      <c r="AD96" s="1090"/>
      <c r="AE96" s="1090"/>
      <c r="AF96" s="1090"/>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090"/>
      <c r="S97" s="1090"/>
      <c r="T97" s="1090"/>
      <c r="U97" s="1090"/>
      <c r="V97" s="1090"/>
      <c r="W97" s="1090"/>
      <c r="X97" s="1090"/>
      <c r="Y97" s="1090"/>
      <c r="Z97" s="1090"/>
      <c r="AA97" s="1090"/>
      <c r="AB97" s="1090"/>
      <c r="AC97" s="1090"/>
      <c r="AD97" s="1090"/>
      <c r="AE97" s="1090"/>
      <c r="AF97" s="1090"/>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090"/>
      <c r="S98" s="1090"/>
      <c r="T98" s="1090"/>
      <c r="U98" s="1090"/>
      <c r="V98" s="1090"/>
      <c r="W98" s="1090"/>
      <c r="X98" s="1090"/>
      <c r="Y98" s="1090"/>
      <c r="Z98" s="1090"/>
      <c r="AA98" s="1090"/>
      <c r="AB98" s="1090"/>
      <c r="AC98" s="1090"/>
      <c r="AD98" s="1090"/>
      <c r="AE98" s="1090"/>
      <c r="AF98" s="1090"/>
    </row>
    <row r="99" spans="1:32">
      <c r="A99" s="142" t="s">
        <v>313</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090"/>
      <c r="S99" s="1090"/>
      <c r="T99" s="1090"/>
      <c r="U99" s="1090"/>
      <c r="V99" s="1090"/>
      <c r="W99" s="1090"/>
      <c r="X99" s="1090"/>
      <c r="Y99" s="1090"/>
      <c r="Z99" s="1090"/>
      <c r="AA99" s="1090"/>
      <c r="AB99" s="1090"/>
      <c r="AC99" s="1090"/>
      <c r="AD99" s="1090"/>
      <c r="AE99" s="1090"/>
      <c r="AF99" s="1090"/>
    </row>
    <row r="100" spans="1:32">
      <c r="A100" s="142" t="s">
        <v>337</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090"/>
      <c r="S100" s="1090"/>
      <c r="T100" s="1090"/>
      <c r="U100" s="1090"/>
      <c r="V100" s="1090"/>
      <c r="W100" s="1090"/>
      <c r="X100" s="1090"/>
      <c r="Y100" s="1090"/>
      <c r="Z100" s="1090"/>
      <c r="AA100" s="1090"/>
      <c r="AB100" s="1090"/>
      <c r="AC100" s="1090"/>
      <c r="AD100" s="1090"/>
      <c r="AE100" s="1090"/>
      <c r="AF100" s="1090"/>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090"/>
      <c r="S101" s="1090"/>
      <c r="T101" s="1090"/>
      <c r="U101" s="1090"/>
      <c r="V101" s="1090"/>
      <c r="W101" s="1090"/>
      <c r="X101" s="1090"/>
      <c r="Y101" s="1090"/>
      <c r="Z101" s="1090"/>
      <c r="AA101" s="1090"/>
      <c r="AB101" s="1090"/>
      <c r="AC101" s="1090"/>
      <c r="AD101" s="1090"/>
      <c r="AE101" s="1090"/>
      <c r="AF101" s="1090"/>
    </row>
    <row r="102" spans="1:32">
      <c r="A102" s="142" t="s">
        <v>361</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090"/>
      <c r="S102" s="1090"/>
      <c r="T102" s="1090"/>
      <c r="U102" s="1090"/>
      <c r="V102" s="1090"/>
      <c r="W102" s="1090"/>
      <c r="X102" s="1090"/>
      <c r="Y102" s="1090"/>
      <c r="Z102" s="1090"/>
      <c r="AA102" s="1090"/>
      <c r="AB102" s="1090"/>
      <c r="AC102" s="1090"/>
      <c r="AD102" s="1090"/>
      <c r="AE102" s="1090"/>
      <c r="AF102" s="1090"/>
    </row>
    <row r="103" spans="1:32">
      <c r="A103" s="142" t="s">
        <v>308</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090"/>
      <c r="S103" s="1090"/>
      <c r="T103" s="1090"/>
      <c r="U103" s="1090"/>
      <c r="V103" s="1090"/>
      <c r="W103" s="1090"/>
      <c r="X103" s="1090"/>
      <c r="Y103" s="1090"/>
      <c r="Z103" s="1090"/>
      <c r="AA103" s="1090"/>
      <c r="AB103" s="1090"/>
      <c r="AC103" s="1090"/>
      <c r="AD103" s="1090"/>
      <c r="AE103" s="1090"/>
      <c r="AF103" s="1090"/>
    </row>
    <row r="104" spans="1:32">
      <c r="A104" s="138" t="s">
        <v>1078</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154"/>
      <c r="S104" s="1154"/>
      <c r="T104" s="1154"/>
      <c r="U104" s="1154"/>
      <c r="V104" s="1154"/>
      <c r="W104" s="1154"/>
      <c r="X104" s="1154"/>
      <c r="Y104" s="1154"/>
      <c r="Z104" s="1154"/>
      <c r="AA104" s="1154"/>
      <c r="AB104" s="1154"/>
      <c r="AC104" s="1154"/>
      <c r="AD104" s="1154"/>
      <c r="AE104" s="1154"/>
      <c r="AF104" s="1154"/>
    </row>
    <row r="105" spans="1:32" ht="30" customHeight="1">
      <c r="A105" s="140" t="s">
        <v>100</v>
      </c>
      <c r="B105" s="140" t="s">
        <v>101</v>
      </c>
      <c r="C105" s="140" t="s">
        <v>131</v>
      </c>
      <c r="D105" s="189" t="s">
        <v>898</v>
      </c>
      <c r="E105" s="189" t="s">
        <v>899</v>
      </c>
      <c r="F105" s="189" t="s">
        <v>900</v>
      </c>
      <c r="G105" s="189" t="s">
        <v>901</v>
      </c>
      <c r="H105" s="189" t="s">
        <v>902</v>
      </c>
      <c r="I105" s="189" t="s">
        <v>903</v>
      </c>
      <c r="J105" s="189" t="s">
        <v>904</v>
      </c>
      <c r="K105" s="189" t="s">
        <v>1093</v>
      </c>
      <c r="L105" s="189" t="s">
        <v>1094</v>
      </c>
      <c r="M105" s="189" t="s">
        <v>1095</v>
      </c>
      <c r="N105" s="189" t="s">
        <v>905</v>
      </c>
      <c r="O105" s="189" t="s">
        <v>1096</v>
      </c>
      <c r="P105" s="189" t="s">
        <v>1097</v>
      </c>
      <c r="Q105" s="189" t="s">
        <v>1098</v>
      </c>
      <c r="R105" s="1088" t="s">
        <v>123</v>
      </c>
      <c r="S105" s="1088"/>
      <c r="T105" s="1088"/>
      <c r="U105" s="1088"/>
      <c r="V105" s="1088"/>
      <c r="W105" s="1088"/>
      <c r="X105" s="1088"/>
      <c r="Y105" s="1088"/>
      <c r="Z105" s="1088"/>
      <c r="AA105" s="1088"/>
      <c r="AB105" s="1088"/>
      <c r="AC105" s="1088"/>
      <c r="AD105" s="1088"/>
      <c r="AE105" s="1088"/>
      <c r="AF105" s="1088"/>
    </row>
    <row r="106" spans="1:32">
      <c r="A106" s="138" t="s">
        <v>1099</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090" t="s">
        <v>1118</v>
      </c>
      <c r="S106" s="1090"/>
      <c r="T106" s="1090"/>
      <c r="U106" s="1090"/>
      <c r="V106" s="1090"/>
      <c r="W106" s="1090"/>
      <c r="X106" s="1090"/>
      <c r="Y106" s="1090"/>
      <c r="Z106" s="1090"/>
      <c r="AA106" s="1090"/>
      <c r="AB106" s="1090"/>
      <c r="AC106" s="1090"/>
      <c r="AD106" s="1090"/>
      <c r="AE106" s="1090"/>
      <c r="AF106" s="1090"/>
    </row>
    <row r="107" spans="1:32" s="378" customFormat="1">
      <c r="A107" s="199" t="s">
        <v>1099</v>
      </c>
      <c r="B107" s="7">
        <v>2016</v>
      </c>
      <c r="C107" s="7"/>
      <c r="D107" s="874"/>
      <c r="E107" s="874"/>
      <c r="F107" s="874"/>
      <c r="G107" s="874"/>
      <c r="H107" s="874"/>
      <c r="I107" s="874"/>
      <c r="J107" s="874"/>
      <c r="K107" s="7">
        <v>18</v>
      </c>
      <c r="L107" s="874"/>
      <c r="M107" s="874"/>
      <c r="N107" s="874"/>
      <c r="O107" s="379"/>
      <c r="P107" s="379"/>
      <c r="Q107" s="379"/>
    </row>
    <row r="108" spans="1:32" s="378" customFormat="1">
      <c r="A108" s="199" t="s">
        <v>1099</v>
      </c>
      <c r="B108" s="7">
        <v>2019</v>
      </c>
      <c r="C108" s="7"/>
      <c r="D108" s="874"/>
      <c r="E108" s="874"/>
      <c r="F108" s="874"/>
      <c r="G108" s="874"/>
      <c r="H108" s="874"/>
      <c r="I108" s="874"/>
      <c r="J108" s="874"/>
      <c r="K108" s="7">
        <v>11.4</v>
      </c>
      <c r="L108" s="874"/>
      <c r="M108" s="874"/>
      <c r="N108" s="874"/>
      <c r="O108" s="379"/>
      <c r="P108" s="379"/>
      <c r="Q108" s="379"/>
    </row>
    <row r="109" spans="1:32" s="378" customFormat="1">
      <c r="A109" s="199" t="s">
        <v>1099</v>
      </c>
      <c r="B109" s="7">
        <v>2021</v>
      </c>
      <c r="C109" s="7"/>
      <c r="D109" s="874"/>
      <c r="E109" s="874"/>
      <c r="F109" s="874"/>
      <c r="G109" s="874"/>
      <c r="H109" s="874"/>
      <c r="I109" s="874"/>
      <c r="J109" s="874"/>
      <c r="K109" s="7">
        <v>10.331</v>
      </c>
      <c r="L109" s="874"/>
      <c r="M109" s="874"/>
      <c r="N109" s="874"/>
      <c r="O109" s="379"/>
      <c r="P109" s="379"/>
      <c r="Q109" s="379"/>
    </row>
    <row r="111" spans="1:32" ht="30" customHeight="1">
      <c r="A111" s="1100" t="s">
        <v>15</v>
      </c>
      <c r="B111" s="1100"/>
      <c r="C111" s="1100"/>
      <c r="D111" s="1100"/>
      <c r="E111" s="1100"/>
      <c r="F111" s="1100"/>
      <c r="G111" s="1100"/>
      <c r="H111" s="1100"/>
      <c r="I111" s="1100"/>
      <c r="J111" s="1100"/>
      <c r="K111" s="1100"/>
      <c r="L111" s="1100"/>
      <c r="M111" s="1100"/>
      <c r="N111" s="1100"/>
      <c r="O111" s="1100"/>
      <c r="P111" s="1100"/>
      <c r="Q111" s="1100"/>
      <c r="R111" s="1100"/>
      <c r="S111" s="1100"/>
      <c r="T111" s="1100"/>
      <c r="U111" s="1100"/>
      <c r="V111" s="1100"/>
      <c r="W111" s="1100"/>
      <c r="X111" s="1100"/>
      <c r="Y111" s="1100"/>
      <c r="Z111" s="1100"/>
      <c r="AA111" s="1100"/>
      <c r="AB111" s="1100"/>
      <c r="AC111" s="1100"/>
      <c r="AD111" s="1100"/>
      <c r="AE111" s="1100"/>
      <c r="AF111" s="1100"/>
    </row>
    <row r="112" spans="1:32" s="25" customFormat="1" ht="30" customHeight="1">
      <c r="A112" s="140" t="s">
        <v>129</v>
      </c>
      <c r="B112" s="1114" t="s">
        <v>130</v>
      </c>
      <c r="C112" s="1116"/>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1099</v>
      </c>
      <c r="B113" s="1095" t="s">
        <v>1050</v>
      </c>
      <c r="C113" s="1095"/>
      <c r="D113" s="117" t="s">
        <v>916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1099</v>
      </c>
      <c r="B114" s="1095" t="s">
        <v>227</v>
      </c>
      <c r="C114" s="1095"/>
      <c r="D114" s="117" t="s">
        <v>916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1099</v>
      </c>
      <c r="B115" s="1095" t="s">
        <v>156</v>
      </c>
      <c r="C115" s="1095"/>
      <c r="D115" s="117" t="s">
        <v>916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1099</v>
      </c>
      <c r="B116" s="1095" t="s">
        <v>159</v>
      </c>
      <c r="C116" s="1095"/>
      <c r="D116" s="117" t="s">
        <v>916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1099</v>
      </c>
      <c r="B117" s="1095" t="s">
        <v>160</v>
      </c>
      <c r="C117" s="1095"/>
      <c r="D117" s="117" t="s">
        <v>916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1099</v>
      </c>
      <c r="B118" s="1095" t="s">
        <v>161</v>
      </c>
      <c r="C118" s="1095"/>
      <c r="D118" s="117" t="s">
        <v>916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1099</v>
      </c>
      <c r="B119" s="1095" t="s">
        <v>313</v>
      </c>
      <c r="C119" s="1095"/>
      <c r="D119" s="117" t="s">
        <v>916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1099</v>
      </c>
      <c r="B120" s="1095" t="s">
        <v>337</v>
      </c>
      <c r="C120" s="1095"/>
      <c r="D120" s="117" t="s">
        <v>916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1099</v>
      </c>
      <c r="B121" s="1095" t="s">
        <v>268</v>
      </c>
      <c r="C121" s="1095"/>
      <c r="D121" s="117" t="s">
        <v>916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1099</v>
      </c>
      <c r="B122" s="1095" t="s">
        <v>361</v>
      </c>
      <c r="C122" s="1095"/>
      <c r="D122" s="117" t="s">
        <v>916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1099</v>
      </c>
      <c r="B123" s="1095" t="s">
        <v>308</v>
      </c>
      <c r="C123" s="1095"/>
      <c r="D123" s="117" t="s">
        <v>916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185" t="s">
        <v>910</v>
      </c>
      <c r="B124" s="1186"/>
      <c r="C124" s="1186"/>
      <c r="D124" s="1186"/>
      <c r="E124" s="1186"/>
      <c r="F124" s="1186"/>
      <c r="G124" s="1186"/>
      <c r="H124" s="1186"/>
      <c r="I124" s="1186"/>
      <c r="J124" s="1186"/>
      <c r="K124" s="1186"/>
      <c r="L124" s="1186"/>
      <c r="M124" s="1186"/>
      <c r="N124" s="1186"/>
      <c r="O124" s="1186"/>
      <c r="P124" s="1186"/>
      <c r="Q124" s="1186"/>
      <c r="R124" s="1186"/>
      <c r="S124" s="1186"/>
      <c r="T124" s="1186"/>
      <c r="U124" s="1186"/>
      <c r="V124" s="1186"/>
      <c r="W124" s="1186"/>
      <c r="X124" s="1186"/>
      <c r="Y124" s="1186"/>
      <c r="Z124" s="1186"/>
      <c r="AA124" s="1186"/>
      <c r="AB124" s="1186"/>
      <c r="AC124" s="1186"/>
      <c r="AD124" s="1186"/>
      <c r="AE124" s="1186"/>
      <c r="AF124" s="1186"/>
    </row>
    <row r="125" spans="1:32" ht="15" customHeight="1">
      <c r="A125" s="140" t="s">
        <v>129</v>
      </c>
      <c r="B125" s="1097" t="s">
        <v>1099</v>
      </c>
      <c r="C125" s="1098"/>
      <c r="D125" s="1097" t="s">
        <v>1099</v>
      </c>
      <c r="E125" s="1098"/>
      <c r="F125" s="1097" t="s">
        <v>1099</v>
      </c>
      <c r="G125" s="1098"/>
      <c r="H125" s="1097" t="s">
        <v>1099</v>
      </c>
      <c r="I125" s="1098"/>
      <c r="J125" s="1097" t="s">
        <v>1099</v>
      </c>
      <c r="K125" s="1098"/>
      <c r="L125" s="1097" t="s">
        <v>1099</v>
      </c>
      <c r="M125" s="1098"/>
      <c r="N125" s="1097" t="s">
        <v>1099</v>
      </c>
      <c r="O125" s="1098"/>
      <c r="P125" s="1097" t="s">
        <v>1099</v>
      </c>
      <c r="Q125" s="1098"/>
      <c r="R125" s="1097" t="s">
        <v>1099</v>
      </c>
      <c r="S125" s="1098"/>
      <c r="T125" s="1097" t="s">
        <v>1099</v>
      </c>
      <c r="U125" s="1098"/>
      <c r="V125" s="1097" t="s">
        <v>1099</v>
      </c>
      <c r="W125" s="1098"/>
      <c r="X125" s="140"/>
      <c r="Y125" s="140"/>
      <c r="Z125" s="140"/>
      <c r="AA125" s="140"/>
      <c r="AB125" s="140"/>
      <c r="AC125" s="140"/>
      <c r="AD125" s="140"/>
      <c r="AE125" s="140"/>
      <c r="AF125" s="140"/>
    </row>
    <row r="126" spans="1:32" ht="15" customHeight="1">
      <c r="A126" s="140" t="s">
        <v>130</v>
      </c>
      <c r="B126" s="1088" t="s">
        <v>353</v>
      </c>
      <c r="C126" s="1088"/>
      <c r="D126" s="1088" t="s">
        <v>227</v>
      </c>
      <c r="E126" s="1088"/>
      <c r="F126" s="1088" t="s">
        <v>156</v>
      </c>
      <c r="G126" s="1088"/>
      <c r="H126" s="1088" t="s">
        <v>159</v>
      </c>
      <c r="I126" s="1088"/>
      <c r="J126" s="1088" t="s">
        <v>160</v>
      </c>
      <c r="K126" s="1088"/>
      <c r="L126" s="1088" t="s">
        <v>161</v>
      </c>
      <c r="M126" s="1088"/>
      <c r="N126" s="1088" t="s">
        <v>313</v>
      </c>
      <c r="O126" s="1088"/>
      <c r="P126" s="1088" t="s">
        <v>337</v>
      </c>
      <c r="Q126" s="1088"/>
      <c r="R126" s="1088" t="s">
        <v>268</v>
      </c>
      <c r="S126" s="1088"/>
      <c r="T126" s="1088" t="s">
        <v>361</v>
      </c>
      <c r="U126" s="1088"/>
      <c r="V126" s="1088" t="s">
        <v>308</v>
      </c>
      <c r="W126" s="1088"/>
      <c r="X126" s="1088" t="s">
        <v>123</v>
      </c>
      <c r="Y126" s="1088"/>
      <c r="Z126" s="1088"/>
      <c r="AA126" s="1088"/>
      <c r="AB126" s="1088"/>
      <c r="AC126" s="1088"/>
      <c r="AD126" s="1088"/>
      <c r="AE126" s="1088"/>
      <c r="AF126" s="1088"/>
    </row>
    <row r="127" spans="1:32">
      <c r="A127" s="142" t="s">
        <v>85</v>
      </c>
      <c r="B127" s="1187">
        <f>E113</f>
        <v>0</v>
      </c>
      <c r="C127" s="1187"/>
      <c r="D127" s="1187">
        <f>E114</f>
        <v>0</v>
      </c>
      <c r="E127" s="1187"/>
      <c r="F127" s="1187">
        <f>E115</f>
        <v>0.88888888888888895</v>
      </c>
      <c r="G127" s="1187"/>
      <c r="H127" s="1187">
        <f>E116</f>
        <v>0</v>
      </c>
      <c r="I127" s="1187"/>
      <c r="J127" s="1187">
        <f>E117</f>
        <v>5.5555555555555546E-2</v>
      </c>
      <c r="K127" s="1187"/>
      <c r="L127" s="1187">
        <f>E118</f>
        <v>5.5555555555555546E-2</v>
      </c>
      <c r="M127" s="1187"/>
      <c r="N127" s="1187">
        <f>E119</f>
        <v>0</v>
      </c>
      <c r="O127" s="1187"/>
      <c r="P127" s="1187">
        <f>E120</f>
        <v>0</v>
      </c>
      <c r="Q127" s="1187"/>
      <c r="R127" s="1187">
        <f>E121</f>
        <v>0</v>
      </c>
      <c r="S127" s="1187"/>
      <c r="T127" s="1187">
        <f>E122</f>
        <v>0</v>
      </c>
      <c r="U127" s="1187"/>
      <c r="V127" s="1187">
        <f>E123</f>
        <v>0</v>
      </c>
      <c r="W127" s="1187"/>
      <c r="X127" s="1090" t="s">
        <v>1119</v>
      </c>
      <c r="Y127" s="1090"/>
      <c r="Z127" s="1090"/>
      <c r="AA127" s="1090"/>
      <c r="AB127" s="1090"/>
      <c r="AC127" s="1090"/>
      <c r="AD127" s="1090"/>
      <c r="AE127" s="1090"/>
      <c r="AF127" s="1090"/>
    </row>
    <row r="128" spans="1:32">
      <c r="A128" s="142" t="s">
        <v>86</v>
      </c>
      <c r="B128" s="1187">
        <f>F113</f>
        <v>0.27128102999855674</v>
      </c>
      <c r="C128" s="1187"/>
      <c r="D128" s="1187">
        <f>F114</f>
        <v>0</v>
      </c>
      <c r="E128" s="1187"/>
      <c r="F128" s="1187">
        <f>F115</f>
        <v>0.14218906731735478</v>
      </c>
      <c r="G128" s="1187"/>
      <c r="H128" s="1187">
        <f>F116</f>
        <v>0.56875626926941902</v>
      </c>
      <c r="I128" s="1187"/>
      <c r="J128" s="1187">
        <f>F117</f>
        <v>8.8868167073346722E-3</v>
      </c>
      <c r="K128" s="1187"/>
      <c r="L128" s="1187">
        <f>F118</f>
        <v>8.8868167073346722E-3</v>
      </c>
      <c r="M128" s="1187"/>
      <c r="N128" s="1187">
        <f>F119</f>
        <v>0</v>
      </c>
      <c r="O128" s="1187"/>
      <c r="P128" s="1187">
        <f>F120</f>
        <v>0</v>
      </c>
      <c r="Q128" s="1187"/>
      <c r="R128" s="1187">
        <f>F121</f>
        <v>0</v>
      </c>
      <c r="S128" s="1187"/>
      <c r="T128" s="1187">
        <f>F122</f>
        <v>0</v>
      </c>
      <c r="U128" s="1187"/>
      <c r="V128" s="1187">
        <f>F123</f>
        <v>0</v>
      </c>
      <c r="W128" s="1187"/>
      <c r="X128" s="1090" t="s">
        <v>1119</v>
      </c>
      <c r="Y128" s="1090"/>
      <c r="Z128" s="1090"/>
      <c r="AA128" s="1090"/>
      <c r="AB128" s="1090"/>
      <c r="AC128" s="1090"/>
      <c r="AD128" s="1090"/>
      <c r="AE128" s="1090"/>
      <c r="AF128" s="1090"/>
    </row>
    <row r="129" spans="1:32">
      <c r="A129" s="142" t="s">
        <v>87</v>
      </c>
      <c r="B129" s="1187">
        <f>G113</f>
        <v>0</v>
      </c>
      <c r="C129" s="1187"/>
      <c r="D129" s="1187">
        <f>G114</f>
        <v>0</v>
      </c>
      <c r="E129" s="1187"/>
      <c r="F129" s="1187">
        <f>G115</f>
        <v>1</v>
      </c>
      <c r="G129" s="1187"/>
      <c r="H129" s="1187">
        <f>G116</f>
        <v>0</v>
      </c>
      <c r="I129" s="1187"/>
      <c r="J129" s="1187">
        <f>G117</f>
        <v>0</v>
      </c>
      <c r="K129" s="1187"/>
      <c r="L129" s="1187">
        <f>G118</f>
        <v>0</v>
      </c>
      <c r="M129" s="1187"/>
      <c r="N129" s="1187">
        <f>G119</f>
        <v>0</v>
      </c>
      <c r="O129" s="1187"/>
      <c r="P129" s="1187">
        <f>G120</f>
        <v>0</v>
      </c>
      <c r="Q129" s="1187"/>
      <c r="R129" s="1187">
        <f>G121</f>
        <v>0</v>
      </c>
      <c r="S129" s="1187"/>
      <c r="T129" s="1187">
        <f>G122</f>
        <v>0</v>
      </c>
      <c r="U129" s="1187"/>
      <c r="V129" s="1187">
        <f>G123</f>
        <v>0</v>
      </c>
      <c r="W129" s="1187"/>
      <c r="X129" s="1090" t="s">
        <v>1119</v>
      </c>
      <c r="Y129" s="1090"/>
      <c r="Z129" s="1090"/>
      <c r="AA129" s="1090"/>
      <c r="AB129" s="1090"/>
      <c r="AC129" s="1090"/>
      <c r="AD129" s="1090"/>
      <c r="AE129" s="1090"/>
      <c r="AF129" s="1090"/>
    </row>
    <row r="130" spans="1:32">
      <c r="A130" s="142" t="s">
        <v>88</v>
      </c>
      <c r="B130" s="1187">
        <f>H113</f>
        <v>0</v>
      </c>
      <c r="C130" s="1187"/>
      <c r="D130" s="1187">
        <f>H114</f>
        <v>0</v>
      </c>
      <c r="E130" s="1187"/>
      <c r="F130" s="1187">
        <f>H115</f>
        <v>0</v>
      </c>
      <c r="G130" s="1187"/>
      <c r="H130" s="1187">
        <f>H116</f>
        <v>0</v>
      </c>
      <c r="I130" s="1187"/>
      <c r="J130" s="1187">
        <f>H117</f>
        <v>0</v>
      </c>
      <c r="K130" s="1187"/>
      <c r="L130" s="1187">
        <f>H118</f>
        <v>0</v>
      </c>
      <c r="M130" s="1187"/>
      <c r="N130" s="1187">
        <f>H119</f>
        <v>0</v>
      </c>
      <c r="O130" s="1187"/>
      <c r="P130" s="1187">
        <f>H120</f>
        <v>0</v>
      </c>
      <c r="Q130" s="1187"/>
      <c r="R130" s="1187">
        <f>H121</f>
        <v>0</v>
      </c>
      <c r="S130" s="1187"/>
      <c r="T130" s="1187">
        <f>H122</f>
        <v>0</v>
      </c>
      <c r="U130" s="1187"/>
      <c r="V130" s="1187">
        <f>H123</f>
        <v>0</v>
      </c>
      <c r="W130" s="1187"/>
      <c r="X130" s="1090" t="s">
        <v>1119</v>
      </c>
      <c r="Y130" s="1090"/>
      <c r="Z130" s="1090"/>
      <c r="AA130" s="1090"/>
      <c r="AB130" s="1090"/>
      <c r="AC130" s="1090"/>
      <c r="AD130" s="1090"/>
      <c r="AE130" s="1090"/>
      <c r="AF130" s="1090"/>
    </row>
    <row r="131" spans="1:32">
      <c r="A131" s="142" t="s">
        <v>89</v>
      </c>
      <c r="B131" s="1187">
        <f>I113</f>
        <v>0</v>
      </c>
      <c r="C131" s="1187"/>
      <c r="D131" s="1187">
        <f>I114</f>
        <v>0</v>
      </c>
      <c r="E131" s="1187"/>
      <c r="F131" s="1187">
        <f>I115</f>
        <v>0</v>
      </c>
      <c r="G131" s="1187"/>
      <c r="H131" s="1187">
        <f>I116</f>
        <v>0</v>
      </c>
      <c r="I131" s="1187"/>
      <c r="J131" s="1187">
        <f>I117</f>
        <v>0</v>
      </c>
      <c r="K131" s="1187"/>
      <c r="L131" s="1187">
        <f>I118</f>
        <v>0</v>
      </c>
      <c r="M131" s="1187"/>
      <c r="N131" s="1187">
        <f>I119</f>
        <v>0</v>
      </c>
      <c r="O131" s="1187"/>
      <c r="P131" s="1187">
        <f>I120</f>
        <v>0</v>
      </c>
      <c r="Q131" s="1187"/>
      <c r="R131" s="1187">
        <f>I121</f>
        <v>0</v>
      </c>
      <c r="S131" s="1187"/>
      <c r="T131" s="1187">
        <f>I122</f>
        <v>0</v>
      </c>
      <c r="U131" s="1187"/>
      <c r="V131" s="1187">
        <f>I123</f>
        <v>0</v>
      </c>
      <c r="W131" s="1187"/>
      <c r="X131" s="1090" t="s">
        <v>1119</v>
      </c>
      <c r="Y131" s="1090"/>
      <c r="Z131" s="1090"/>
      <c r="AA131" s="1090"/>
      <c r="AB131" s="1090"/>
      <c r="AC131" s="1090"/>
      <c r="AD131" s="1090"/>
      <c r="AE131" s="1090"/>
      <c r="AF131" s="1090"/>
    </row>
    <row r="132" spans="1:32">
      <c r="A132" s="142" t="s">
        <v>90</v>
      </c>
      <c r="B132" s="1187">
        <f>J113</f>
        <v>0</v>
      </c>
      <c r="C132" s="1187"/>
      <c r="D132" s="1187">
        <f>J114</f>
        <v>0</v>
      </c>
      <c r="E132" s="1187"/>
      <c r="F132" s="1187">
        <f>J115</f>
        <v>0.88888888888888895</v>
      </c>
      <c r="G132" s="1187"/>
      <c r="H132" s="1187">
        <f>J116</f>
        <v>0</v>
      </c>
      <c r="I132" s="1187"/>
      <c r="J132" s="1187">
        <f>J117</f>
        <v>5.5555555555555546E-2</v>
      </c>
      <c r="K132" s="1187"/>
      <c r="L132" s="1187">
        <f>J118</f>
        <v>5.5555555555555546E-2</v>
      </c>
      <c r="M132" s="1187"/>
      <c r="N132" s="1187">
        <f>J119</f>
        <v>0</v>
      </c>
      <c r="O132" s="1187"/>
      <c r="P132" s="1187">
        <f>J120</f>
        <v>0</v>
      </c>
      <c r="Q132" s="1187"/>
      <c r="R132" s="1187">
        <f>J121</f>
        <v>0</v>
      </c>
      <c r="S132" s="1187"/>
      <c r="T132" s="1187">
        <f>J122</f>
        <v>0</v>
      </c>
      <c r="U132" s="1187"/>
      <c r="V132" s="1187">
        <f>J123</f>
        <v>0</v>
      </c>
      <c r="W132" s="1187"/>
      <c r="X132" s="1090" t="s">
        <v>1119</v>
      </c>
      <c r="Y132" s="1090"/>
      <c r="Z132" s="1090"/>
      <c r="AA132" s="1090"/>
      <c r="AB132" s="1090"/>
      <c r="AC132" s="1090"/>
      <c r="AD132" s="1090"/>
      <c r="AE132" s="1090"/>
      <c r="AF132" s="1090"/>
    </row>
    <row r="133" spans="1:32">
      <c r="A133" s="142" t="s">
        <v>91</v>
      </c>
      <c r="B133" s="1187">
        <f>K113</f>
        <v>0</v>
      </c>
      <c r="C133" s="1187"/>
      <c r="D133" s="1187">
        <f>K114</f>
        <v>0.68888053925336512</v>
      </c>
      <c r="E133" s="1187"/>
      <c r="F133" s="1187">
        <f>K115</f>
        <v>0</v>
      </c>
      <c r="G133" s="1187"/>
      <c r="H133" s="1187">
        <f>K116</f>
        <v>0</v>
      </c>
      <c r="I133" s="1187"/>
      <c r="J133" s="1187">
        <f>K117</f>
        <v>0.1555597303733175</v>
      </c>
      <c r="K133" s="1187"/>
      <c r="L133" s="1187">
        <f>K118</f>
        <v>0.1555597303733175</v>
      </c>
      <c r="M133" s="1187"/>
      <c r="N133" s="1187">
        <f>K119</f>
        <v>0</v>
      </c>
      <c r="O133" s="1187"/>
      <c r="P133" s="1187">
        <f>K120</f>
        <v>0</v>
      </c>
      <c r="Q133" s="1187"/>
      <c r="R133" s="1187">
        <f>K121</f>
        <v>0</v>
      </c>
      <c r="S133" s="1187"/>
      <c r="T133" s="1187">
        <f>K122</f>
        <v>0</v>
      </c>
      <c r="U133" s="1187"/>
      <c r="V133" s="1187">
        <f>K123</f>
        <v>0</v>
      </c>
      <c r="W133" s="1187"/>
      <c r="X133" s="1090" t="s">
        <v>1119</v>
      </c>
      <c r="Y133" s="1090"/>
      <c r="Z133" s="1090"/>
      <c r="AA133" s="1090"/>
      <c r="AB133" s="1090"/>
      <c r="AC133" s="1090"/>
      <c r="AD133" s="1090"/>
      <c r="AE133" s="1090"/>
      <c r="AF133" s="1090"/>
    </row>
    <row r="134" spans="1:32">
      <c r="A134" s="142" t="s">
        <v>92</v>
      </c>
      <c r="B134" s="1187">
        <f>L113</f>
        <v>0</v>
      </c>
      <c r="C134" s="1187"/>
      <c r="D134" s="1187">
        <f>L114</f>
        <v>0</v>
      </c>
      <c r="E134" s="1187"/>
      <c r="F134" s="1187">
        <f>L115</f>
        <v>0</v>
      </c>
      <c r="G134" s="1187"/>
      <c r="H134" s="1187">
        <f>L116</f>
        <v>0</v>
      </c>
      <c r="I134" s="1187"/>
      <c r="J134" s="1187">
        <f>L117</f>
        <v>0</v>
      </c>
      <c r="K134" s="1187"/>
      <c r="L134" s="1187">
        <f>L118</f>
        <v>0</v>
      </c>
      <c r="M134" s="1187"/>
      <c r="N134" s="1187">
        <f>L119</f>
        <v>0</v>
      </c>
      <c r="O134" s="1187"/>
      <c r="P134" s="1187">
        <f>L120</f>
        <v>0</v>
      </c>
      <c r="Q134" s="1187"/>
      <c r="R134" s="1187">
        <f>L121</f>
        <v>0</v>
      </c>
      <c r="S134" s="1187"/>
      <c r="T134" s="1187">
        <f>L122</f>
        <v>0</v>
      </c>
      <c r="U134" s="1187"/>
      <c r="V134" s="1187">
        <f>L123</f>
        <v>1</v>
      </c>
      <c r="W134" s="1187"/>
      <c r="X134" s="1090" t="s">
        <v>1119</v>
      </c>
      <c r="Y134" s="1090"/>
      <c r="Z134" s="1090"/>
      <c r="AA134" s="1090"/>
      <c r="AB134" s="1090"/>
      <c r="AC134" s="1090"/>
      <c r="AD134" s="1090"/>
      <c r="AE134" s="1090"/>
      <c r="AF134" s="1090"/>
    </row>
    <row r="135" spans="1:32">
      <c r="A135" s="142" t="s">
        <v>93</v>
      </c>
      <c r="B135" s="1187">
        <f>M113</f>
        <v>0.23555374262145426</v>
      </c>
      <c r="C135" s="1187"/>
      <c r="D135" s="1187">
        <f>M114</f>
        <v>0.67917586906964822</v>
      </c>
      <c r="E135" s="1187"/>
      <c r="F135" s="1187">
        <f>M115</f>
        <v>7.5795900719019996E-2</v>
      </c>
      <c r="G135" s="1187"/>
      <c r="H135" s="1187">
        <f>M116</f>
        <v>0</v>
      </c>
      <c r="I135" s="1187"/>
      <c r="J135" s="1187">
        <f>M117</f>
        <v>4.7372437949387489E-3</v>
      </c>
      <c r="K135" s="1187"/>
      <c r="L135" s="1187">
        <f>M118</f>
        <v>4.7372437949387489E-3</v>
      </c>
      <c r="M135" s="1187"/>
      <c r="N135" s="1187">
        <f>M119</f>
        <v>0</v>
      </c>
      <c r="O135" s="1187"/>
      <c r="P135" s="1187">
        <f>M120</f>
        <v>0</v>
      </c>
      <c r="Q135" s="1187"/>
      <c r="R135" s="1187">
        <f>M121</f>
        <v>0</v>
      </c>
      <c r="S135" s="1187"/>
      <c r="T135" s="1187">
        <f>M122</f>
        <v>0</v>
      </c>
      <c r="U135" s="1187"/>
      <c r="V135" s="1187">
        <f>M123</f>
        <v>0</v>
      </c>
      <c r="W135" s="1187"/>
      <c r="X135" s="1090" t="s">
        <v>1119</v>
      </c>
      <c r="Y135" s="1090"/>
      <c r="Z135" s="1090"/>
      <c r="AA135" s="1090"/>
      <c r="AB135" s="1090"/>
      <c r="AC135" s="1090"/>
      <c r="AD135" s="1090"/>
      <c r="AE135" s="1090"/>
      <c r="AF135" s="1090"/>
    </row>
    <row r="136" spans="1:32">
      <c r="A136" s="142" t="s">
        <v>94</v>
      </c>
      <c r="B136" s="1187">
        <f>N113</f>
        <v>0</v>
      </c>
      <c r="C136" s="1187"/>
      <c r="D136" s="1187">
        <f>N114</f>
        <v>0</v>
      </c>
      <c r="E136" s="1187"/>
      <c r="F136" s="1187">
        <f>N115</f>
        <v>0</v>
      </c>
      <c r="G136" s="1187"/>
      <c r="H136" s="1187">
        <f>N116</f>
        <v>0</v>
      </c>
      <c r="I136" s="1187"/>
      <c r="J136" s="1187">
        <f>N117</f>
        <v>0</v>
      </c>
      <c r="K136" s="1187"/>
      <c r="L136" s="1187">
        <f>N118</f>
        <v>0</v>
      </c>
      <c r="M136" s="1187"/>
      <c r="N136" s="1187">
        <f>N119</f>
        <v>0</v>
      </c>
      <c r="O136" s="1187"/>
      <c r="P136" s="1187">
        <f>N120</f>
        <v>0</v>
      </c>
      <c r="Q136" s="1187"/>
      <c r="R136" s="1187">
        <f>N121</f>
        <v>0</v>
      </c>
      <c r="S136" s="1187"/>
      <c r="T136" s="1187">
        <f>N122</f>
        <v>0</v>
      </c>
      <c r="U136" s="1187"/>
      <c r="V136" s="1187">
        <f>N123</f>
        <v>0</v>
      </c>
      <c r="W136" s="1187"/>
      <c r="X136" s="1090" t="s">
        <v>1119</v>
      </c>
      <c r="Y136" s="1090"/>
      <c r="Z136" s="1090"/>
      <c r="AA136" s="1090"/>
      <c r="AB136" s="1090"/>
      <c r="AC136" s="1090"/>
      <c r="AD136" s="1090"/>
      <c r="AE136" s="1090"/>
      <c r="AF136" s="1090"/>
    </row>
    <row r="137" spans="1:32">
      <c r="A137" s="142" t="s">
        <v>95</v>
      </c>
      <c r="B137" s="1187">
        <f>O113</f>
        <v>5.6605334263949885E-3</v>
      </c>
      <c r="C137" s="1187"/>
      <c r="D137" s="1187">
        <f>O114</f>
        <v>0.19632840585737768</v>
      </c>
      <c r="E137" s="1187"/>
      <c r="F137" s="1187">
        <f>O115</f>
        <v>0.70934316508109096</v>
      </c>
      <c r="G137" s="1187"/>
      <c r="H137" s="1187">
        <f>O116</f>
        <v>0</v>
      </c>
      <c r="I137" s="1187"/>
      <c r="J137" s="1187">
        <f>O117</f>
        <v>4.4333947817568178E-2</v>
      </c>
      <c r="K137" s="1187"/>
      <c r="L137" s="1187">
        <f>O118</f>
        <v>4.4333947817568178E-2</v>
      </c>
      <c r="M137" s="1187"/>
      <c r="N137" s="1187">
        <f>O119</f>
        <v>0</v>
      </c>
      <c r="O137" s="1187"/>
      <c r="P137" s="1187">
        <f>O120</f>
        <v>0</v>
      </c>
      <c r="Q137" s="1187"/>
      <c r="R137" s="1187">
        <f>O121</f>
        <v>0</v>
      </c>
      <c r="S137" s="1187"/>
      <c r="T137" s="1187">
        <f>O122</f>
        <v>0</v>
      </c>
      <c r="U137" s="1187"/>
      <c r="V137" s="1187">
        <f>O123</f>
        <v>0</v>
      </c>
      <c r="W137" s="1187"/>
      <c r="X137" s="1090" t="s">
        <v>1119</v>
      </c>
      <c r="Y137" s="1090"/>
      <c r="Z137" s="1090"/>
      <c r="AA137" s="1090"/>
      <c r="AB137" s="1090"/>
      <c r="AC137" s="1090"/>
      <c r="AD137" s="1090"/>
      <c r="AE137" s="1090"/>
      <c r="AF137" s="1090"/>
    </row>
    <row r="138" spans="1:32">
      <c r="A138" s="142" t="s">
        <v>96</v>
      </c>
      <c r="B138" s="1187">
        <f>P113</f>
        <v>0</v>
      </c>
      <c r="C138" s="1187"/>
      <c r="D138" s="1187">
        <f>P114</f>
        <v>0</v>
      </c>
      <c r="E138" s="1187"/>
      <c r="F138" s="1187">
        <f>P115</f>
        <v>0</v>
      </c>
      <c r="G138" s="1187"/>
      <c r="H138" s="1187">
        <f>P116</f>
        <v>0</v>
      </c>
      <c r="I138" s="1187"/>
      <c r="J138" s="1187">
        <f>P117</f>
        <v>0</v>
      </c>
      <c r="K138" s="1187"/>
      <c r="L138" s="1187">
        <f>P118</f>
        <v>0</v>
      </c>
      <c r="M138" s="1187"/>
      <c r="N138" s="1187">
        <f>P119</f>
        <v>0</v>
      </c>
      <c r="O138" s="1187"/>
      <c r="P138" s="1187">
        <f>P120</f>
        <v>0</v>
      </c>
      <c r="Q138" s="1187"/>
      <c r="R138" s="1187">
        <f>P121</f>
        <v>0</v>
      </c>
      <c r="S138" s="1187"/>
      <c r="T138" s="1187">
        <f>P122</f>
        <v>0</v>
      </c>
      <c r="U138" s="1187"/>
      <c r="V138" s="1187">
        <f>P123</f>
        <v>0</v>
      </c>
      <c r="W138" s="1187"/>
      <c r="X138" s="1090" t="s">
        <v>1119</v>
      </c>
      <c r="Y138" s="1090"/>
      <c r="Z138" s="1090"/>
      <c r="AA138" s="1090"/>
      <c r="AB138" s="1090"/>
      <c r="AC138" s="1090"/>
      <c r="AD138" s="1090"/>
      <c r="AE138" s="1090"/>
      <c r="AF138" s="1090"/>
    </row>
    <row r="139" spans="1:32">
      <c r="A139" s="142" t="s">
        <v>97</v>
      </c>
      <c r="B139" s="1187">
        <f>Q113</f>
        <v>0</v>
      </c>
      <c r="C139" s="1187"/>
      <c r="D139" s="1187">
        <f>Q114</f>
        <v>0.19744605585646305</v>
      </c>
      <c r="E139" s="1187"/>
      <c r="F139" s="1187">
        <f>Q115</f>
        <v>0.71338128368314402</v>
      </c>
      <c r="G139" s="1187"/>
      <c r="H139" s="1187">
        <f>Q116</f>
        <v>0</v>
      </c>
      <c r="I139" s="1187"/>
      <c r="J139" s="1187">
        <f>Q117</f>
        <v>4.4586330230196494E-2</v>
      </c>
      <c r="K139" s="1187"/>
      <c r="L139" s="1187">
        <f>Q118</f>
        <v>4.4586330230196494E-2</v>
      </c>
      <c r="M139" s="1187"/>
      <c r="N139" s="1187">
        <f>Q119</f>
        <v>0</v>
      </c>
      <c r="O139" s="1187"/>
      <c r="P139" s="1187">
        <f>Q120</f>
        <v>0</v>
      </c>
      <c r="Q139" s="1187"/>
      <c r="R139" s="1187">
        <f>Q121</f>
        <v>0</v>
      </c>
      <c r="S139" s="1187"/>
      <c r="T139" s="1187">
        <f>Q122</f>
        <v>0</v>
      </c>
      <c r="U139" s="1187"/>
      <c r="V139" s="1187">
        <f>Q123</f>
        <v>0</v>
      </c>
      <c r="W139" s="1187"/>
      <c r="X139" s="1090" t="s">
        <v>1119</v>
      </c>
      <c r="Y139" s="1090"/>
      <c r="Z139" s="1090"/>
      <c r="AA139" s="1090"/>
      <c r="AB139" s="1090"/>
      <c r="AC139" s="1090"/>
      <c r="AD139" s="1090"/>
      <c r="AE139" s="1090"/>
      <c r="AF139" s="1090"/>
    </row>
    <row r="140" spans="1:32">
      <c r="A140" s="142" t="s">
        <v>127</v>
      </c>
      <c r="B140" s="1187">
        <f>R113</f>
        <v>2.0189518931614638E-3</v>
      </c>
      <c r="C140" s="1187"/>
      <c r="D140" s="1187">
        <f>R114</f>
        <v>3.7824092334929553E-4</v>
      </c>
      <c r="E140" s="1187"/>
      <c r="F140" s="1187">
        <f>R115</f>
        <v>0.3279842619534431</v>
      </c>
      <c r="G140" s="1187"/>
      <c r="H140" s="1187">
        <f>R116</f>
        <v>0</v>
      </c>
      <c r="I140" s="1187"/>
      <c r="J140" s="1187">
        <f>R117</f>
        <v>6.8330054573633985E-3</v>
      </c>
      <c r="K140" s="1187"/>
      <c r="L140" s="1187">
        <f>R118</f>
        <v>6.8330054573633985E-3</v>
      </c>
      <c r="M140" s="1187"/>
      <c r="N140" s="1187">
        <f>R119</f>
        <v>6.6532165485482164E-3</v>
      </c>
      <c r="O140" s="1187"/>
      <c r="P140" s="1187">
        <f>R120</f>
        <v>0.14573018486415787</v>
      </c>
      <c r="Q140" s="1187"/>
      <c r="R140" s="1187">
        <f>R121</f>
        <v>0.14573018486415787</v>
      </c>
      <c r="S140" s="1187"/>
      <c r="T140" s="1187">
        <f>R122</f>
        <v>0.3578389480384554</v>
      </c>
      <c r="U140" s="1187"/>
      <c r="V140" s="1187">
        <f>R123</f>
        <v>0</v>
      </c>
      <c r="W140" s="1187"/>
      <c r="X140" s="1090" t="s">
        <v>1119</v>
      </c>
      <c r="Y140" s="1090"/>
      <c r="Z140" s="1090"/>
      <c r="AA140" s="1090"/>
      <c r="AB140" s="1090"/>
      <c r="AC140" s="1090"/>
      <c r="AD140" s="1090"/>
      <c r="AE140" s="1090"/>
      <c r="AF140" s="1090"/>
    </row>
    <row r="141" spans="1:32">
      <c r="A141" s="875"/>
      <c r="B141" s="876"/>
      <c r="C141" s="876"/>
      <c r="D141" s="876"/>
      <c r="E141" s="876"/>
      <c r="F141" s="876"/>
      <c r="G141" s="876"/>
      <c r="H141" s="876"/>
      <c r="I141" s="876"/>
      <c r="J141" s="876"/>
      <c r="K141" s="876"/>
      <c r="L141" s="876"/>
      <c r="M141" s="876"/>
      <c r="N141" s="876"/>
      <c r="O141" s="876"/>
      <c r="P141" s="876"/>
      <c r="Q141" s="876"/>
      <c r="R141" s="876"/>
      <c r="S141" s="876"/>
      <c r="T141" s="876"/>
      <c r="U141" s="876"/>
      <c r="V141" s="876"/>
      <c r="W141" s="876"/>
    </row>
    <row r="142" spans="1:32" customFormat="1">
      <c r="H142" s="6"/>
      <c r="I142" s="6"/>
      <c r="J142" s="6"/>
      <c r="K142" s="6"/>
      <c r="L142" s="6"/>
      <c r="M142" s="6"/>
      <c r="N142" s="6"/>
      <c r="O142" s="6"/>
    </row>
    <row r="143" spans="1:32" customFormat="1" ht="15" thickBot="1">
      <c r="A143" s="409" t="s">
        <v>2005</v>
      </c>
      <c r="B143" s="221"/>
      <c r="C143" s="221"/>
      <c r="D143" s="221"/>
      <c r="E143" s="221"/>
      <c r="F143" s="221"/>
      <c r="G143" s="221"/>
      <c r="H143" s="861"/>
      <c r="I143" s="861"/>
      <c r="J143" s="861"/>
      <c r="K143" s="861"/>
      <c r="L143" s="861"/>
      <c r="M143" s="861"/>
      <c r="N143" s="861"/>
      <c r="O143" s="861"/>
      <c r="P143" s="221"/>
    </row>
    <row r="144" spans="1:32" ht="1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 thickBot="1">
      <c r="A145" s="227" t="s">
        <v>308</v>
      </c>
      <c r="B145" s="227" t="s">
        <v>310</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 thickBot="1">
      <c r="A146" s="227" t="s">
        <v>308</v>
      </c>
      <c r="B146" s="227" t="s">
        <v>311</v>
      </c>
      <c r="C146" s="6" t="s">
        <v>139</v>
      </c>
      <c r="D146" s="6" t="s">
        <v>139</v>
      </c>
      <c r="E146" s="581">
        <v>0.11</v>
      </c>
      <c r="F146" s="6">
        <v>2</v>
      </c>
      <c r="G146" s="40" t="s">
        <v>312</v>
      </c>
      <c r="H146" s="249">
        <v>2</v>
      </c>
      <c r="I146" s="10">
        <v>2</v>
      </c>
      <c r="J146" s="10">
        <v>1</v>
      </c>
      <c r="K146" s="10">
        <v>1</v>
      </c>
      <c r="L146" s="10">
        <v>1</v>
      </c>
      <c r="M146" s="293">
        <v>1</v>
      </c>
      <c r="N146" s="405">
        <f t="shared" si="51"/>
        <v>0.16933510251023262</v>
      </c>
      <c r="O146" s="350">
        <f t="shared" si="52"/>
        <v>0.16933510251023262</v>
      </c>
      <c r="P146" s="34"/>
    </row>
    <row r="147" spans="1:16" ht="15" thickBot="1">
      <c r="A147" s="227" t="s">
        <v>311</v>
      </c>
      <c r="B147" s="60" t="s">
        <v>232</v>
      </c>
      <c r="C147" s="6" t="s">
        <v>139</v>
      </c>
      <c r="D147" s="6" t="s">
        <v>139</v>
      </c>
      <c r="E147" s="581">
        <v>0.08</v>
      </c>
      <c r="F147" s="6">
        <v>1</v>
      </c>
      <c r="G147" s="161" t="s">
        <v>352</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 thickBot="1">
      <c r="A148" s="227" t="s">
        <v>311</v>
      </c>
      <c r="B148" s="34" t="s">
        <v>251</v>
      </c>
      <c r="C148" s="6" t="s">
        <v>139</v>
      </c>
      <c r="D148" s="6" t="s">
        <v>139</v>
      </c>
      <c r="E148" s="581">
        <v>0.52</v>
      </c>
      <c r="F148" s="6">
        <v>1</v>
      </c>
      <c r="G148" s="40" t="s">
        <v>352</v>
      </c>
      <c r="H148" s="249">
        <v>2</v>
      </c>
      <c r="I148" s="10">
        <v>2</v>
      </c>
      <c r="J148" s="10">
        <v>1</v>
      </c>
      <c r="K148" s="10">
        <v>1</v>
      </c>
      <c r="L148" s="10">
        <v>1</v>
      </c>
      <c r="M148" s="293">
        <v>1</v>
      </c>
      <c r="N148" s="405">
        <f t="shared" si="53"/>
        <v>0.16933510251023262</v>
      </c>
      <c r="O148" s="350">
        <f t="shared" si="54"/>
        <v>0.16933510251023262</v>
      </c>
      <c r="P148" s="34"/>
    </row>
    <row r="149" spans="1:16" ht="15" thickBot="1">
      <c r="A149" s="227" t="s">
        <v>311</v>
      </c>
      <c r="B149" s="7" t="s">
        <v>333</v>
      </c>
      <c r="C149" s="6" t="s">
        <v>139</v>
      </c>
      <c r="D149" s="6" t="s">
        <v>139</v>
      </c>
      <c r="E149" s="581">
        <v>0.4</v>
      </c>
      <c r="F149" s="6">
        <v>1</v>
      </c>
      <c r="G149" s="40" t="s">
        <v>352</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310</v>
      </c>
      <c r="B150" s="7" t="s">
        <v>333</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159" t="s">
        <v>982</v>
      </c>
      <c r="B152" s="1160"/>
      <c r="C152" s="1160"/>
      <c r="D152" s="1160"/>
      <c r="E152" s="1160"/>
      <c r="F152" s="1160"/>
      <c r="G152" s="1160"/>
      <c r="H152" s="1160"/>
      <c r="I152" s="1160"/>
      <c r="J152" s="1160"/>
      <c r="K152" s="1160"/>
      <c r="L152" s="1160"/>
      <c r="M152" s="1160"/>
      <c r="N152" s="1160"/>
      <c r="O152" s="1160"/>
      <c r="P152" s="1160"/>
    </row>
    <row r="153" spans="1:16">
      <c r="A153" s="1160"/>
      <c r="B153" s="1160"/>
      <c r="C153" s="1160"/>
      <c r="D153" s="1160"/>
      <c r="E153" s="1160"/>
      <c r="F153" s="1160"/>
      <c r="G153" s="1160"/>
      <c r="H153" s="1160"/>
      <c r="I153" s="1160"/>
      <c r="J153" s="1160"/>
      <c r="K153" s="1160"/>
      <c r="L153" s="1160"/>
      <c r="M153" s="1160"/>
      <c r="N153" s="1160"/>
      <c r="O153" s="1160"/>
      <c r="P153" s="1160"/>
    </row>
    <row r="154" spans="1:16">
      <c r="D154" s="6" t="s">
        <v>1120</v>
      </c>
      <c r="E154" s="6">
        <f>948/90312</f>
        <v>1.0496943927717247E-2</v>
      </c>
      <c r="F154" s="6" t="s">
        <v>1121</v>
      </c>
    </row>
    <row r="155" spans="1:16">
      <c r="A155" s="6" t="s">
        <v>1122</v>
      </c>
      <c r="D155" s="6" t="s">
        <v>1120</v>
      </c>
      <c r="E155" s="6">
        <v>1.0999999999999999E-2</v>
      </c>
      <c r="F155" s="6" t="s">
        <v>301</v>
      </c>
    </row>
    <row r="156" spans="1:16">
      <c r="A156" s="367" t="s">
        <v>1123</v>
      </c>
      <c r="D156" s="6" t="s">
        <v>1124</v>
      </c>
      <c r="E156" s="6">
        <f>10*E155</f>
        <v>0.10999999999999999</v>
      </c>
    </row>
    <row r="158" spans="1:16">
      <c r="D158" s="6">
        <f>0.15/0.11</f>
        <v>1.3636363636363635</v>
      </c>
    </row>
  </sheetData>
  <mergeCells count="394">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J140:K140"/>
    <mergeCell ref="L140:M140"/>
    <mergeCell ref="N140:O140"/>
    <mergeCell ref="P140:Q140"/>
    <mergeCell ref="R140:S140"/>
    <mergeCell ref="J139:K139"/>
    <mergeCell ref="L139:M139"/>
    <mergeCell ref="N139:O139"/>
    <mergeCell ref="P139:Q139"/>
    <mergeCell ref="R139:S139"/>
    <mergeCell ref="J138:K138"/>
    <mergeCell ref="L138:M138"/>
    <mergeCell ref="N138:O138"/>
    <mergeCell ref="P138:Q138"/>
    <mergeCell ref="R138:S138"/>
    <mergeCell ref="J137:K137"/>
    <mergeCell ref="L137:M137"/>
    <mergeCell ref="N137:O137"/>
    <mergeCell ref="P137:Q137"/>
    <mergeCell ref="R137:S137"/>
    <mergeCell ref="J136:K136"/>
    <mergeCell ref="L136:M136"/>
    <mergeCell ref="N136:O136"/>
    <mergeCell ref="P136:Q136"/>
    <mergeCell ref="R136:S136"/>
    <mergeCell ref="J135:K135"/>
    <mergeCell ref="L135:M135"/>
    <mergeCell ref="N135:O135"/>
    <mergeCell ref="P135:Q135"/>
    <mergeCell ref="R135:S135"/>
    <mergeCell ref="J134:K134"/>
    <mergeCell ref="L134:M134"/>
    <mergeCell ref="N134:O134"/>
    <mergeCell ref="P134:Q134"/>
    <mergeCell ref="R134:S134"/>
    <mergeCell ref="J133:K133"/>
    <mergeCell ref="L133:M133"/>
    <mergeCell ref="N133:O133"/>
    <mergeCell ref="P133:Q133"/>
    <mergeCell ref="R133:S133"/>
    <mergeCell ref="J132:K132"/>
    <mergeCell ref="L132:M132"/>
    <mergeCell ref="N132:O132"/>
    <mergeCell ref="P132:Q132"/>
    <mergeCell ref="R132:S132"/>
    <mergeCell ref="J131:K131"/>
    <mergeCell ref="L131:M131"/>
    <mergeCell ref="N131:O131"/>
    <mergeCell ref="P131:Q131"/>
    <mergeCell ref="R131:S131"/>
    <mergeCell ref="L128:M128"/>
    <mergeCell ref="N128:O128"/>
    <mergeCell ref="P128:Q128"/>
    <mergeCell ref="R128:S128"/>
    <mergeCell ref="J129:K129"/>
    <mergeCell ref="L129:M129"/>
    <mergeCell ref="N129:O129"/>
    <mergeCell ref="P129:Q129"/>
    <mergeCell ref="R129:S129"/>
    <mergeCell ref="J128:K128"/>
    <mergeCell ref="D139:E139"/>
    <mergeCell ref="F139:G139"/>
    <mergeCell ref="H139:I139"/>
    <mergeCell ref="D140:E140"/>
    <mergeCell ref="F140:G140"/>
    <mergeCell ref="H140:I140"/>
    <mergeCell ref="D137:E137"/>
    <mergeCell ref="F137:G137"/>
    <mergeCell ref="H137:I137"/>
    <mergeCell ref="D138:E138"/>
    <mergeCell ref="F138:G138"/>
    <mergeCell ref="H138:I138"/>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B139:C139"/>
    <mergeCell ref="B130:C130"/>
    <mergeCell ref="B131:C131"/>
    <mergeCell ref="B132:C132"/>
    <mergeCell ref="B133:C133"/>
    <mergeCell ref="B134:C134"/>
    <mergeCell ref="B126:C126"/>
    <mergeCell ref="B127:C127"/>
    <mergeCell ref="B128:C128"/>
    <mergeCell ref="B129:C129"/>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B112:C112"/>
    <mergeCell ref="B113:C113"/>
    <mergeCell ref="A111:AF111"/>
    <mergeCell ref="R105:AF105"/>
    <mergeCell ref="R106:AF106"/>
    <mergeCell ref="B119:C119"/>
    <mergeCell ref="B120:C120"/>
    <mergeCell ref="B121:C121"/>
    <mergeCell ref="B122:C122"/>
    <mergeCell ref="R101:AF101"/>
    <mergeCell ref="R102:AF102"/>
    <mergeCell ref="R93:AF93"/>
    <mergeCell ref="R94:AF94"/>
    <mergeCell ref="R95:AF95"/>
    <mergeCell ref="R96:AF96"/>
    <mergeCell ref="R97:AF97"/>
    <mergeCell ref="R103:AF103"/>
    <mergeCell ref="R104:AF104"/>
    <mergeCell ref="R98:AF98"/>
    <mergeCell ref="R99:AF99"/>
    <mergeCell ref="R100:AF100"/>
    <mergeCell ref="R69:AF69"/>
    <mergeCell ref="R70:AF70"/>
    <mergeCell ref="A61:A62"/>
    <mergeCell ref="A63:A64"/>
    <mergeCell ref="A65:A66"/>
    <mergeCell ref="J65:K66"/>
    <mergeCell ref="B61:B62"/>
    <mergeCell ref="B63:B64"/>
    <mergeCell ref="B65:B66"/>
    <mergeCell ref="E61:E62"/>
    <mergeCell ref="E63:E64"/>
    <mergeCell ref="G69:L69"/>
    <mergeCell ref="G70:L70"/>
    <mergeCell ref="R81:AF81"/>
    <mergeCell ref="R71:AF71"/>
    <mergeCell ref="R72:AF72"/>
    <mergeCell ref="R74:AF74"/>
    <mergeCell ref="R75:AF75"/>
    <mergeCell ref="R76:AF76"/>
    <mergeCell ref="R77:AF77"/>
    <mergeCell ref="M71:Q71"/>
    <mergeCell ref="R92:AF92"/>
    <mergeCell ref="R73:AF73"/>
    <mergeCell ref="R78:AF78"/>
    <mergeCell ref="G81:L81"/>
    <mergeCell ref="G79:L79"/>
    <mergeCell ref="G80:L80"/>
    <mergeCell ref="G77:L77"/>
    <mergeCell ref="G78:L78"/>
    <mergeCell ref="G75:L75"/>
    <mergeCell ref="G76:L76"/>
    <mergeCell ref="G72:L72"/>
    <mergeCell ref="G73:L73"/>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U9:V9"/>
    <mergeCell ref="U10:V10"/>
    <mergeCell ref="R2:T2"/>
    <mergeCell ref="R3:T3"/>
    <mergeCell ref="R10:T10"/>
    <mergeCell ref="R11:T11"/>
    <mergeCell ref="R12:T12"/>
    <mergeCell ref="R13:T13"/>
    <mergeCell ref="R4:T4"/>
    <mergeCell ref="R5:T5"/>
    <mergeCell ref="R6:T6"/>
    <mergeCell ref="R7:T7"/>
    <mergeCell ref="A1:AF1"/>
    <mergeCell ref="U3:V3"/>
    <mergeCell ref="W3:AF3"/>
    <mergeCell ref="U4:V4"/>
    <mergeCell ref="W4:AF4"/>
    <mergeCell ref="U5:V5"/>
    <mergeCell ref="W5:AF5"/>
    <mergeCell ref="U6:V6"/>
    <mergeCell ref="W6:AF6"/>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R17:AF17"/>
    <mergeCell ref="R23:AF23"/>
    <mergeCell ref="R24:AF24"/>
    <mergeCell ref="R25:AF25"/>
    <mergeCell ref="A28:AF28"/>
    <mergeCell ref="R18:AF18"/>
    <mergeCell ref="R19:AF19"/>
    <mergeCell ref="R29:AF29"/>
    <mergeCell ref="R30:AF30"/>
    <mergeCell ref="R26:AF26"/>
    <mergeCell ref="M29:Q29"/>
    <mergeCell ref="M30:Q3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60"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9"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8" priority="25" operator="containsText" text="Actual TC">
      <formula>NOT(ISERROR(SEARCH("Actual TC",P142)))</formula>
    </cfRule>
  </conditionalFormatting>
  <conditionalFormatting sqref="P145:P150">
    <cfRule type="containsText" dxfId="57"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8671875" defaultRowHeight="14.4"/>
  <cols>
    <col min="1" max="1" width="50.6640625" style="6" customWidth="1"/>
    <col min="2" max="2" width="41.44140625" style="6" customWidth="1"/>
    <col min="3" max="5" width="20.6640625" style="6" customWidth="1"/>
    <col min="6" max="6" width="36" style="6" customWidth="1"/>
    <col min="7" max="14" width="20.6640625" style="6" customWidth="1"/>
    <col min="15" max="15" width="19.44140625" style="6" customWidth="1"/>
    <col min="16" max="16" width="28.109375" style="6" customWidth="1"/>
    <col min="17" max="17" width="8.88671875" style="6"/>
    <col min="18" max="18" width="86.33203125" style="6" customWidth="1"/>
    <col min="19" max="25" width="8.88671875" style="6"/>
    <col min="26" max="26" width="85.33203125" style="6" bestFit="1" customWidth="1"/>
    <col min="27" max="27" width="8.88671875" style="6"/>
    <col min="28" max="29" width="8.88671875" style="6" customWidth="1"/>
    <col min="30" max="36" width="8.88671875" style="6"/>
    <col min="37" max="37" width="85.33203125" style="6" bestFit="1" customWidth="1"/>
    <col min="38" max="16384" width="8.88671875" style="6"/>
  </cols>
  <sheetData>
    <row r="1" spans="1:40" s="131" customFormat="1" ht="30" customHeight="1">
      <c r="A1" s="1100" t="s">
        <v>795</v>
      </c>
      <c r="B1" s="1100"/>
      <c r="C1" s="1100"/>
      <c r="D1" s="1100"/>
      <c r="E1" s="1100"/>
      <c r="F1" s="1100"/>
      <c r="G1" s="1100"/>
      <c r="H1" s="1100"/>
      <c r="I1" s="1100"/>
      <c r="J1" s="1100"/>
      <c r="K1" s="1100"/>
      <c r="L1" s="1100"/>
      <c r="M1" s="1100"/>
      <c r="N1" s="1100"/>
      <c r="O1" s="1100"/>
      <c r="P1" s="1100"/>
      <c r="Q1" s="1100"/>
      <c r="R1" s="1100"/>
    </row>
    <row r="2" spans="1:40" ht="15" customHeight="1">
      <c r="A2" s="1088" t="s">
        <v>100</v>
      </c>
      <c r="B2" s="1195" t="s">
        <v>101</v>
      </c>
      <c r="C2" s="1195" t="s">
        <v>131</v>
      </c>
      <c r="D2" s="1195" t="s">
        <v>102</v>
      </c>
      <c r="E2" s="181" t="s">
        <v>1125</v>
      </c>
      <c r="F2" s="181" t="s">
        <v>1126</v>
      </c>
      <c r="G2" s="1195" t="s">
        <v>1045</v>
      </c>
      <c r="H2" s="1195" t="s">
        <v>796</v>
      </c>
      <c r="I2" s="1142" t="s">
        <v>104</v>
      </c>
      <c r="J2" s="1142"/>
      <c r="K2" s="1142"/>
      <c r="L2" s="1142"/>
      <c r="M2" s="1142"/>
      <c r="N2" s="1142"/>
      <c r="O2" s="1142"/>
    </row>
    <row r="3" spans="1:40" ht="15" customHeight="1">
      <c r="A3" s="1088"/>
      <c r="B3" s="1117"/>
      <c r="C3" s="1117"/>
      <c r="D3" s="1117"/>
      <c r="E3" s="181" t="s">
        <v>1127</v>
      </c>
      <c r="F3" s="181" t="s">
        <v>1127</v>
      </c>
      <c r="G3" s="1117"/>
      <c r="H3" s="1117"/>
      <c r="I3" s="1142"/>
      <c r="J3" s="1142"/>
      <c r="K3" s="1142"/>
      <c r="L3" s="1142"/>
      <c r="M3" s="1142"/>
      <c r="N3" s="1142"/>
      <c r="O3" s="1142"/>
    </row>
    <row r="4" spans="1:40">
      <c r="A4" s="142" t="s">
        <v>39</v>
      </c>
      <c r="B4" s="117" t="s">
        <v>880</v>
      </c>
      <c r="C4" s="117" t="s">
        <v>880</v>
      </c>
      <c r="D4" s="9" t="s">
        <v>85</v>
      </c>
      <c r="E4" s="116">
        <v>2885.0686350860101</v>
      </c>
      <c r="F4" s="116">
        <v>2909.4280502461302</v>
      </c>
      <c r="G4" s="116">
        <f t="shared" ref="G4:G11" si="0">SUM(E4:F4)</f>
        <v>5794.4966853321403</v>
      </c>
      <c r="H4" s="128">
        <f t="shared" ref="H4:H11" si="1">G4/$G$12</f>
        <v>0.32347542902537302</v>
      </c>
      <c r="I4" s="1130" t="s">
        <v>1128</v>
      </c>
      <c r="J4" s="1130"/>
      <c r="K4" s="1130"/>
      <c r="L4" s="1130"/>
      <c r="M4" s="1130"/>
      <c r="N4" s="1130"/>
      <c r="O4" s="1130"/>
    </row>
    <row r="5" spans="1:40">
      <c r="A5" s="142" t="s">
        <v>39</v>
      </c>
      <c r="B5" s="117" t="s">
        <v>880</v>
      </c>
      <c r="C5" s="117" t="s">
        <v>880</v>
      </c>
      <c r="D5" s="9" t="s">
        <v>86</v>
      </c>
      <c r="E5" s="116">
        <v>2233.3084179234902</v>
      </c>
      <c r="F5" s="116">
        <v>1065.7029273794899</v>
      </c>
      <c r="G5" s="116">
        <f t="shared" si="0"/>
        <v>3299.0113453029799</v>
      </c>
      <c r="H5" s="128">
        <f t="shared" si="1"/>
        <v>0.18416597130563128</v>
      </c>
      <c r="I5" s="1130" t="s">
        <v>1129</v>
      </c>
      <c r="J5" s="1130"/>
      <c r="K5" s="1130"/>
      <c r="L5" s="1130"/>
      <c r="M5" s="1130"/>
      <c r="N5" s="1130"/>
      <c r="O5" s="1130"/>
    </row>
    <row r="6" spans="1:40">
      <c r="A6" s="142" t="s">
        <v>39</v>
      </c>
      <c r="B6" s="117" t="s">
        <v>880</v>
      </c>
      <c r="C6" s="117" t="s">
        <v>880</v>
      </c>
      <c r="D6" s="9" t="s">
        <v>87</v>
      </c>
      <c r="E6" s="116">
        <v>1851.11319573223</v>
      </c>
      <c r="F6" s="116">
        <v>1924.8758026412299</v>
      </c>
      <c r="G6" s="116">
        <f t="shared" si="0"/>
        <v>3775.9889983734602</v>
      </c>
      <c r="H6" s="128">
        <f t="shared" si="1"/>
        <v>0.21079305547552157</v>
      </c>
      <c r="I6" s="1130" t="s">
        <v>1129</v>
      </c>
      <c r="J6" s="1130"/>
      <c r="K6" s="1130"/>
      <c r="L6" s="1130"/>
      <c r="M6" s="1130"/>
      <c r="N6" s="1130"/>
      <c r="O6" s="1130"/>
    </row>
    <row r="7" spans="1:40">
      <c r="A7" s="142" t="s">
        <v>39</v>
      </c>
      <c r="B7" s="117" t="s">
        <v>880</v>
      </c>
      <c r="C7" s="117" t="s">
        <v>880</v>
      </c>
      <c r="D7" s="9" t="s">
        <v>88</v>
      </c>
      <c r="E7" s="116">
        <v>345.54532634631101</v>
      </c>
      <c r="F7" s="116">
        <v>329.843858813324</v>
      </c>
      <c r="G7" s="116">
        <f t="shared" si="0"/>
        <v>675.38918515963496</v>
      </c>
      <c r="H7" s="128">
        <f t="shared" si="1"/>
        <v>3.7703327535183018E-2</v>
      </c>
      <c r="I7" s="1130" t="s">
        <v>1129</v>
      </c>
      <c r="J7" s="1130"/>
      <c r="K7" s="1130"/>
      <c r="L7" s="1130"/>
      <c r="M7" s="1130"/>
      <c r="N7" s="1130"/>
      <c r="O7" s="1130"/>
    </row>
    <row r="8" spans="1:40">
      <c r="A8" s="142" t="s">
        <v>39</v>
      </c>
      <c r="B8" s="117" t="s">
        <v>880</v>
      </c>
      <c r="C8" s="117" t="s">
        <v>880</v>
      </c>
      <c r="D8" s="9" t="s">
        <v>89</v>
      </c>
      <c r="E8" s="116">
        <v>123.549106802057</v>
      </c>
      <c r="F8" s="116">
        <v>117.935075468761</v>
      </c>
      <c r="G8" s="116">
        <f t="shared" si="0"/>
        <v>241.484182270818</v>
      </c>
      <c r="H8" s="128">
        <f t="shared" si="1"/>
        <v>1.3480756604905492E-2</v>
      </c>
      <c r="I8" s="1130" t="s">
        <v>1129</v>
      </c>
      <c r="J8" s="1130"/>
      <c r="K8" s="1130"/>
      <c r="L8" s="1130"/>
      <c r="M8" s="1130"/>
      <c r="N8" s="1130"/>
      <c r="O8" s="1130"/>
    </row>
    <row r="9" spans="1:40">
      <c r="A9" s="142" t="s">
        <v>39</v>
      </c>
      <c r="B9" s="117" t="s">
        <v>880</v>
      </c>
      <c r="C9" s="117" t="s">
        <v>880</v>
      </c>
      <c r="D9" s="9" t="s">
        <v>90</v>
      </c>
      <c r="E9" s="116">
        <v>196.41778061564401</v>
      </c>
      <c r="F9" s="116">
        <v>188.361759836734</v>
      </c>
      <c r="G9" s="116">
        <f t="shared" si="0"/>
        <v>384.779540452378</v>
      </c>
      <c r="H9" s="128">
        <f t="shared" si="1"/>
        <v>2.148016189966712E-2</v>
      </c>
      <c r="I9" s="1130" t="s">
        <v>1129</v>
      </c>
      <c r="J9" s="1130"/>
      <c r="K9" s="1130"/>
      <c r="L9" s="1130"/>
      <c r="M9" s="1130"/>
      <c r="N9" s="1130"/>
      <c r="O9" s="1130"/>
    </row>
    <row r="10" spans="1:40">
      <c r="A10" s="142" t="s">
        <v>39</v>
      </c>
      <c r="B10" s="117" t="s">
        <v>880</v>
      </c>
      <c r="C10" s="117" t="s">
        <v>880</v>
      </c>
      <c r="D10" s="9" t="s">
        <v>91</v>
      </c>
      <c r="E10" s="116">
        <v>1778.68411129328</v>
      </c>
      <c r="F10" s="116">
        <v>1508.5460067608601</v>
      </c>
      <c r="G10" s="116">
        <f t="shared" si="0"/>
        <v>3287.2301180541399</v>
      </c>
      <c r="H10" s="128">
        <f t="shared" si="1"/>
        <v>0.18350828906924124</v>
      </c>
      <c r="I10" s="1130" t="s">
        <v>1129</v>
      </c>
      <c r="J10" s="1130"/>
      <c r="K10" s="1130"/>
      <c r="L10" s="1130"/>
      <c r="M10" s="1130"/>
      <c r="N10" s="1130"/>
      <c r="O10" s="1130"/>
    </row>
    <row r="11" spans="1:40">
      <c r="A11" s="142" t="s">
        <v>39</v>
      </c>
      <c r="B11" s="117" t="s">
        <v>880</v>
      </c>
      <c r="C11" s="117" t="s">
        <v>880</v>
      </c>
      <c r="D11" s="9" t="s">
        <v>98</v>
      </c>
      <c r="E11" s="116">
        <v>201.416771483639</v>
      </c>
      <c r="F11" s="116">
        <v>253.45458432209401</v>
      </c>
      <c r="G11" s="116">
        <f t="shared" si="0"/>
        <v>454.871355805733</v>
      </c>
      <c r="H11" s="128">
        <f t="shared" si="1"/>
        <v>2.5393009084477291E-2</v>
      </c>
      <c r="I11" s="1130" t="s">
        <v>1129</v>
      </c>
      <c r="J11" s="1130"/>
      <c r="K11" s="1130"/>
      <c r="L11" s="1130"/>
      <c r="M11" s="1130"/>
      <c r="N11" s="1130"/>
      <c r="O11" s="1130"/>
    </row>
    <row r="12" spans="1:40">
      <c r="A12" s="142" t="s">
        <v>39</v>
      </c>
      <c r="B12" s="117" t="s">
        <v>880</v>
      </c>
      <c r="C12" s="117" t="s">
        <v>880</v>
      </c>
      <c r="D12" s="9" t="s">
        <v>1045</v>
      </c>
      <c r="E12" s="132">
        <f>SUM(E4:E11)</f>
        <v>9615.1033452826632</v>
      </c>
      <c r="F12" s="132">
        <f>SUM(F4:F11)</f>
        <v>8298.1480654686238</v>
      </c>
      <c r="G12" s="132">
        <f t="shared" ref="G12:H12" si="2">SUM(G4:G11)</f>
        <v>17913.251410751283</v>
      </c>
      <c r="H12" s="133">
        <f t="shared" si="2"/>
        <v>1</v>
      </c>
      <c r="I12" s="1130"/>
      <c r="J12" s="1130"/>
      <c r="K12" s="1130"/>
      <c r="L12" s="1130"/>
      <c r="M12" s="1130"/>
      <c r="N12" s="1130"/>
      <c r="O12" s="1130"/>
    </row>
    <row r="13" spans="1:40">
      <c r="B13" s="25"/>
      <c r="C13" s="134"/>
      <c r="D13" s="134"/>
      <c r="E13" s="134"/>
      <c r="F13" s="135"/>
    </row>
    <row r="14" spans="1:40" s="131" customFormat="1" ht="30" customHeight="1">
      <c r="A14" s="1100" t="s">
        <v>763</v>
      </c>
      <c r="B14" s="1100"/>
      <c r="C14" s="1100"/>
      <c r="D14" s="1100"/>
      <c r="E14" s="1100"/>
      <c r="F14" s="1100"/>
      <c r="G14" s="1100"/>
      <c r="H14" s="1100"/>
      <c r="I14" s="1100"/>
      <c r="J14" s="1100"/>
      <c r="K14" s="1100"/>
      <c r="L14" s="1100"/>
      <c r="M14" s="1100"/>
      <c r="N14" s="1100"/>
      <c r="O14" s="1100"/>
      <c r="P14" s="1100"/>
      <c r="Q14" s="1100"/>
      <c r="R14" s="1100"/>
      <c r="U14" s="382" t="s">
        <v>763</v>
      </c>
      <c r="V14" s="382"/>
      <c r="W14" s="382"/>
      <c r="X14" s="382"/>
      <c r="Y14" s="382"/>
      <c r="Z14" s="382"/>
      <c r="AA14" s="382"/>
      <c r="AB14" s="382"/>
      <c r="AC14" s="382"/>
      <c r="AD14"/>
      <c r="AE14"/>
      <c r="AF14" s="382" t="s">
        <v>1130</v>
      </c>
      <c r="AG14" s="382"/>
      <c r="AH14" s="382"/>
      <c r="AI14" s="382"/>
      <c r="AJ14" s="382"/>
      <c r="AK14" s="382"/>
      <c r="AL14" s="382"/>
      <c r="AM14" s="382"/>
      <c r="AN14" s="382"/>
    </row>
    <row r="15" spans="1:40" ht="30" customHeight="1">
      <c r="A15" s="140" t="s">
        <v>100</v>
      </c>
      <c r="B15" s="140" t="s">
        <v>101</v>
      </c>
      <c r="C15" s="140" t="s">
        <v>131</v>
      </c>
      <c r="D15" s="140" t="s">
        <v>102</v>
      </c>
      <c r="E15" s="140" t="s">
        <v>890</v>
      </c>
      <c r="F15" s="1088" t="s">
        <v>104</v>
      </c>
      <c r="G15" s="1088"/>
      <c r="H15" s="1088"/>
      <c r="I15" s="1088"/>
      <c r="U15" s="140" t="s">
        <v>100</v>
      </c>
      <c r="V15" s="140" t="s">
        <v>101</v>
      </c>
      <c r="W15" s="140" t="s">
        <v>131</v>
      </c>
      <c r="X15" s="140" t="s">
        <v>102</v>
      </c>
      <c r="Y15" s="140" t="s">
        <v>890</v>
      </c>
      <c r="Z15" s="1088" t="s">
        <v>104</v>
      </c>
      <c r="AA15" s="1088"/>
      <c r="AB15" s="1088"/>
      <c r="AC15" s="1088"/>
      <c r="AF15" s="140" t="s">
        <v>100</v>
      </c>
      <c r="AG15" s="140" t="s">
        <v>101</v>
      </c>
      <c r="AH15" s="140" t="s">
        <v>131</v>
      </c>
      <c r="AI15" s="140" t="s">
        <v>102</v>
      </c>
      <c r="AJ15" s="140" t="s">
        <v>890</v>
      </c>
      <c r="AK15" s="1088" t="s">
        <v>104</v>
      </c>
      <c r="AL15" s="1088"/>
      <c r="AM15" s="1088"/>
      <c r="AN15" s="1088"/>
    </row>
    <row r="16" spans="1:40">
      <c r="A16" s="143" t="s">
        <v>39</v>
      </c>
      <c r="B16" s="117">
        <v>2020</v>
      </c>
      <c r="C16" s="117" t="s">
        <v>180</v>
      </c>
      <c r="D16" s="117" t="s">
        <v>951</v>
      </c>
      <c r="E16" s="130">
        <v>554</v>
      </c>
      <c r="F16" s="1194" t="s">
        <v>1131</v>
      </c>
      <c r="G16" s="1194"/>
      <c r="H16" s="1194"/>
      <c r="I16" s="1194"/>
      <c r="U16" s="143" t="s">
        <v>39</v>
      </c>
      <c r="V16" s="117">
        <v>2021</v>
      </c>
      <c r="W16" s="117" t="s">
        <v>180</v>
      </c>
      <c r="X16" s="117" t="s">
        <v>951</v>
      </c>
      <c r="Y16" s="130">
        <f>545828/1000</f>
        <v>545.82799999999997</v>
      </c>
      <c r="Z16" s="1194" t="s">
        <v>1131</v>
      </c>
      <c r="AA16" s="1194"/>
      <c r="AB16" s="1194"/>
      <c r="AC16" s="1194"/>
      <c r="AF16" s="143" t="s">
        <v>39</v>
      </c>
      <c r="AG16" s="117">
        <v>2021</v>
      </c>
      <c r="AH16" s="117" t="s">
        <v>182</v>
      </c>
      <c r="AI16" s="117" t="s">
        <v>951</v>
      </c>
      <c r="AJ16" s="130">
        <f>16051604/1000</f>
        <v>16051.603999999999</v>
      </c>
      <c r="AK16" s="1194" t="s">
        <v>1131</v>
      </c>
      <c r="AL16" s="1194"/>
      <c r="AM16" s="1194"/>
      <c r="AN16" s="1194"/>
    </row>
    <row r="17" spans="1:40">
      <c r="U17" s="143" t="s">
        <v>39</v>
      </c>
      <c r="V17" s="6">
        <v>2020</v>
      </c>
      <c r="W17" s="117" t="s">
        <v>180</v>
      </c>
      <c r="X17" s="117" t="s">
        <v>951</v>
      </c>
      <c r="Y17" s="117">
        <f>554000/1000</f>
        <v>554</v>
      </c>
      <c r="Z17" s="1194" t="s">
        <v>1131</v>
      </c>
      <c r="AA17" s="1194"/>
      <c r="AB17" s="1194"/>
      <c r="AC17" s="1194"/>
      <c r="AF17" s="143" t="s">
        <v>39</v>
      </c>
      <c r="AG17" s="6">
        <v>2020</v>
      </c>
      <c r="AH17" s="117" t="s">
        <v>182</v>
      </c>
      <c r="AI17" s="117" t="s">
        <v>951</v>
      </c>
      <c r="AJ17" s="117">
        <f>15453665/1000</f>
        <v>15453.665000000001</v>
      </c>
      <c r="AK17" s="1194" t="s">
        <v>1131</v>
      </c>
      <c r="AL17" s="1194"/>
      <c r="AM17" s="1194"/>
      <c r="AN17" s="1194"/>
    </row>
    <row r="18" spans="1:40" ht="30" customHeight="1">
      <c r="A18" s="140" t="s">
        <v>100</v>
      </c>
      <c r="B18" s="140" t="s">
        <v>101</v>
      </c>
      <c r="C18" s="140" t="s">
        <v>131</v>
      </c>
      <c r="D18" s="140" t="s">
        <v>102</v>
      </c>
      <c r="E18" s="140" t="s">
        <v>890</v>
      </c>
      <c r="F18" s="1088" t="s">
        <v>104</v>
      </c>
      <c r="G18" s="1088"/>
      <c r="H18" s="1088"/>
      <c r="I18" s="1088"/>
      <c r="U18" s="143" t="s">
        <v>39</v>
      </c>
      <c r="V18" s="117">
        <v>2019</v>
      </c>
      <c r="W18" s="117" t="s">
        <v>180</v>
      </c>
      <c r="X18" s="117" t="s">
        <v>951</v>
      </c>
      <c r="Y18" s="117">
        <v>523</v>
      </c>
      <c r="Z18" s="1194" t="s">
        <v>1131</v>
      </c>
      <c r="AA18" s="1194"/>
      <c r="AB18" s="1194"/>
      <c r="AC18" s="1194"/>
      <c r="AF18" s="143" t="s">
        <v>39</v>
      </c>
      <c r="AG18" s="117">
        <v>2019</v>
      </c>
      <c r="AH18" s="117" t="s">
        <v>182</v>
      </c>
      <c r="AI18" s="117" t="s">
        <v>951</v>
      </c>
      <c r="AJ18" s="117">
        <f>15262788/1000</f>
        <v>15262.788</v>
      </c>
      <c r="AK18" s="1194" t="s">
        <v>1131</v>
      </c>
      <c r="AL18" s="1194"/>
      <c r="AM18" s="1194"/>
      <c r="AN18" s="1194"/>
    </row>
    <row r="19" spans="1:40">
      <c r="A19" s="143" t="s">
        <v>39</v>
      </c>
      <c r="B19" s="117">
        <v>2020</v>
      </c>
      <c r="C19" s="117" t="s">
        <v>180</v>
      </c>
      <c r="D19" s="9" t="s">
        <v>85</v>
      </c>
      <c r="E19" s="136">
        <f t="shared" ref="E19:E26" si="3">H4*$E$16</f>
        <v>179.20538768005665</v>
      </c>
      <c r="F19" s="1090" t="s">
        <v>1132</v>
      </c>
      <c r="G19" s="1090"/>
      <c r="H19" s="1090"/>
      <c r="I19" s="1090"/>
      <c r="U19" s="143" t="s">
        <v>39</v>
      </c>
      <c r="V19" s="6">
        <v>2018</v>
      </c>
      <c r="W19" s="117" t="s">
        <v>180</v>
      </c>
      <c r="X19" s="117" t="s">
        <v>951</v>
      </c>
      <c r="Y19" s="117">
        <v>523</v>
      </c>
      <c r="Z19" s="1194" t="s">
        <v>1131</v>
      </c>
      <c r="AA19" s="1194"/>
      <c r="AB19" s="1194"/>
      <c r="AC19" s="1194"/>
      <c r="AF19" s="143" t="s">
        <v>39</v>
      </c>
      <c r="AG19" s="6">
        <v>2018</v>
      </c>
      <c r="AH19" s="117" t="s">
        <v>182</v>
      </c>
      <c r="AI19" s="117" t="s">
        <v>951</v>
      </c>
      <c r="AJ19" s="117">
        <f>14817435/1000</f>
        <v>14817.434999999999</v>
      </c>
      <c r="AK19" s="1194" t="s">
        <v>1131</v>
      </c>
      <c r="AL19" s="1194"/>
      <c r="AM19" s="1194"/>
      <c r="AN19" s="1194"/>
    </row>
    <row r="20" spans="1:40">
      <c r="A20" s="143" t="s">
        <v>39</v>
      </c>
      <c r="B20" s="117">
        <v>2020</v>
      </c>
      <c r="C20" s="117" t="s">
        <v>180</v>
      </c>
      <c r="D20" s="9" t="s">
        <v>86</v>
      </c>
      <c r="E20" s="136">
        <f t="shared" si="3"/>
        <v>102.02794810331973</v>
      </c>
      <c r="F20" s="1090" t="s">
        <v>1132</v>
      </c>
      <c r="G20" s="1090"/>
      <c r="H20" s="1090"/>
      <c r="I20" s="1090"/>
      <c r="U20" s="143" t="s">
        <v>39</v>
      </c>
      <c r="V20" s="117">
        <v>2017</v>
      </c>
      <c r="W20" s="117" t="s">
        <v>180</v>
      </c>
      <c r="X20" s="117" t="s">
        <v>951</v>
      </c>
      <c r="Y20" s="117">
        <v>512</v>
      </c>
      <c r="Z20" s="1194" t="s">
        <v>1131</v>
      </c>
      <c r="AA20" s="1194"/>
      <c r="AB20" s="1194"/>
      <c r="AC20" s="1194"/>
      <c r="AF20" s="143" t="s">
        <v>39</v>
      </c>
      <c r="AG20" s="117">
        <v>2017</v>
      </c>
      <c r="AH20" s="117" t="s">
        <v>182</v>
      </c>
      <c r="AI20" s="117" t="s">
        <v>951</v>
      </c>
      <c r="AJ20" s="117">
        <f>14551775/1000</f>
        <v>14551.775</v>
      </c>
      <c r="AK20" s="1194" t="s">
        <v>1131</v>
      </c>
      <c r="AL20" s="1194"/>
      <c r="AM20" s="1194"/>
      <c r="AN20" s="1194"/>
    </row>
    <row r="21" spans="1:40">
      <c r="A21" s="143" t="s">
        <v>39</v>
      </c>
      <c r="B21" s="117">
        <v>2020</v>
      </c>
      <c r="C21" s="117" t="s">
        <v>180</v>
      </c>
      <c r="D21" s="9" t="s">
        <v>87</v>
      </c>
      <c r="E21" s="136">
        <f t="shared" si="3"/>
        <v>116.77935273343896</v>
      </c>
      <c r="F21" s="1090" t="s">
        <v>1132</v>
      </c>
      <c r="G21" s="1090"/>
      <c r="H21" s="1090"/>
      <c r="I21" s="1090"/>
      <c r="U21"/>
      <c r="V21"/>
      <c r="W21"/>
      <c r="X21"/>
      <c r="Y21"/>
      <c r="Z21" s="1129"/>
      <c r="AA21" s="1129"/>
      <c r="AB21" s="1129"/>
      <c r="AC21" s="1129"/>
      <c r="AF21"/>
      <c r="AG21"/>
      <c r="AH21"/>
      <c r="AI21"/>
      <c r="AJ21"/>
      <c r="AK21" s="1129"/>
      <c r="AL21" s="1129"/>
      <c r="AM21" s="1129"/>
      <c r="AN21" s="1129"/>
    </row>
    <row r="22" spans="1:40">
      <c r="A22" s="143" t="s">
        <v>39</v>
      </c>
      <c r="B22" s="117">
        <v>2020</v>
      </c>
      <c r="C22" s="117" t="s">
        <v>180</v>
      </c>
      <c r="D22" s="9" t="s">
        <v>88</v>
      </c>
      <c r="E22" s="136">
        <f t="shared" si="3"/>
        <v>20.887643454491393</v>
      </c>
      <c r="F22" s="1090" t="s">
        <v>1132</v>
      </c>
      <c r="G22" s="1090"/>
      <c r="H22" s="1090"/>
      <c r="I22" s="1090"/>
      <c r="U22" s="140" t="s">
        <v>100</v>
      </c>
      <c r="V22" s="140" t="s">
        <v>101</v>
      </c>
      <c r="W22" s="140" t="s">
        <v>131</v>
      </c>
      <c r="X22" s="140" t="s">
        <v>102</v>
      </c>
      <c r="Y22" s="140" t="s">
        <v>890</v>
      </c>
      <c r="Z22" s="140" t="s">
        <v>104</v>
      </c>
      <c r="AA22" s="140"/>
      <c r="AB22" s="140"/>
      <c r="AC22" s="140"/>
      <c r="AF22" s="140" t="s">
        <v>100</v>
      </c>
      <c r="AG22" s="140" t="s">
        <v>101</v>
      </c>
      <c r="AH22" s="140" t="s">
        <v>131</v>
      </c>
      <c r="AI22" s="140" t="s">
        <v>102</v>
      </c>
      <c r="AJ22" s="140" t="s">
        <v>890</v>
      </c>
      <c r="AK22" s="140" t="s">
        <v>104</v>
      </c>
      <c r="AL22" s="140"/>
      <c r="AM22" s="140"/>
      <c r="AN22" s="140"/>
    </row>
    <row r="23" spans="1:40">
      <c r="A23" s="143" t="s">
        <v>39</v>
      </c>
      <c r="B23" s="117">
        <v>2020</v>
      </c>
      <c r="C23" s="117" t="s">
        <v>180</v>
      </c>
      <c r="D23" s="9" t="s">
        <v>89</v>
      </c>
      <c r="E23" s="136">
        <f t="shared" si="3"/>
        <v>7.4683391591176429</v>
      </c>
      <c r="F23" s="1090" t="s">
        <v>1132</v>
      </c>
      <c r="G23" s="1090"/>
      <c r="H23" s="1090"/>
      <c r="I23" s="1090"/>
      <c r="U23" s="143" t="s">
        <v>39</v>
      </c>
      <c r="V23" s="117">
        <v>2021</v>
      </c>
      <c r="W23" s="117" t="s">
        <v>180</v>
      </c>
      <c r="X23" s="9" t="s">
        <v>85</v>
      </c>
      <c r="Y23" s="136">
        <f>Y16*H4</f>
        <v>176.5619464740613</v>
      </c>
      <c r="Z23" s="117" t="s">
        <v>1132</v>
      </c>
      <c r="AA23" s="117"/>
      <c r="AB23" s="117"/>
      <c r="AC23" s="117"/>
      <c r="AF23" s="143" t="s">
        <v>39</v>
      </c>
      <c r="AG23" s="117">
        <v>2021</v>
      </c>
      <c r="AH23" s="117" t="s">
        <v>182</v>
      </c>
      <c r="AI23" s="9" t="s">
        <v>85</v>
      </c>
      <c r="AJ23" s="136">
        <f>AJ16*H4</f>
        <v>5192.2994904453935</v>
      </c>
      <c r="AK23" s="117" t="s">
        <v>1132</v>
      </c>
      <c r="AL23" s="117"/>
      <c r="AM23" s="117"/>
      <c r="AN23" s="117"/>
    </row>
    <row r="24" spans="1:40">
      <c r="A24" s="143" t="s">
        <v>39</v>
      </c>
      <c r="B24" s="117">
        <v>2020</v>
      </c>
      <c r="C24" s="117" t="s">
        <v>180</v>
      </c>
      <c r="D24" s="9" t="s">
        <v>90</v>
      </c>
      <c r="E24" s="136">
        <f t="shared" si="3"/>
        <v>11.900009692415585</v>
      </c>
      <c r="F24" s="1090" t="s">
        <v>1132</v>
      </c>
      <c r="G24" s="1090"/>
      <c r="H24" s="1090"/>
      <c r="I24" s="1090"/>
      <c r="U24" s="143" t="s">
        <v>39</v>
      </c>
      <c r="V24" s="117">
        <v>2021</v>
      </c>
      <c r="W24" s="117" t="s">
        <v>180</v>
      </c>
      <c r="X24" s="9" t="s">
        <v>86</v>
      </c>
      <c r="Y24" s="136">
        <f>Y16*H5</f>
        <v>100.52294378581011</v>
      </c>
      <c r="Z24" s="117" t="s">
        <v>1132</v>
      </c>
      <c r="AA24" s="117"/>
      <c r="AB24" s="117"/>
      <c r="AC24" s="117"/>
      <c r="AF24" s="143" t="s">
        <v>39</v>
      </c>
      <c r="AG24" s="117">
        <v>2021</v>
      </c>
      <c r="AH24" s="117" t="s">
        <v>182</v>
      </c>
      <c r="AI24" s="9" t="s">
        <v>86</v>
      </c>
      <c r="AJ24" s="136">
        <f>AJ16*H5</f>
        <v>2956.1592416733561</v>
      </c>
      <c r="AK24" s="117" t="s">
        <v>1132</v>
      </c>
      <c r="AL24" s="117"/>
      <c r="AM24" s="117"/>
      <c r="AN24" s="117"/>
    </row>
    <row r="25" spans="1:40">
      <c r="A25" s="143" t="s">
        <v>39</v>
      </c>
      <c r="B25" s="117">
        <v>2020</v>
      </c>
      <c r="C25" s="117" t="s">
        <v>180</v>
      </c>
      <c r="D25" s="9" t="s">
        <v>91</v>
      </c>
      <c r="E25" s="136">
        <f t="shared" si="3"/>
        <v>101.66359214435965</v>
      </c>
      <c r="F25" s="1090" t="s">
        <v>1132</v>
      </c>
      <c r="G25" s="1090"/>
      <c r="H25" s="1090"/>
      <c r="I25" s="1090"/>
      <c r="U25" s="143" t="s">
        <v>39</v>
      </c>
      <c r="V25" s="117">
        <v>2021</v>
      </c>
      <c r="W25" s="117" t="s">
        <v>180</v>
      </c>
      <c r="X25" s="9" t="s">
        <v>87</v>
      </c>
      <c r="Y25" s="136">
        <f>Y16*H6</f>
        <v>115.05675188409299</v>
      </c>
      <c r="Z25" s="117" t="s">
        <v>1132</v>
      </c>
      <c r="AA25" s="117"/>
      <c r="AB25" s="117"/>
      <c r="AC25" s="117"/>
      <c r="AF25" s="143" t="s">
        <v>39</v>
      </c>
      <c r="AG25" s="117">
        <v>2021</v>
      </c>
      <c r="AH25" s="117" t="s">
        <v>182</v>
      </c>
      <c r="AI25" s="9" t="s">
        <v>87</v>
      </c>
      <c r="AJ25" s="136">
        <f>AJ16*H6</f>
        <v>3383.566652443104</v>
      </c>
      <c r="AK25" s="117" t="s">
        <v>1132</v>
      </c>
      <c r="AL25" s="117"/>
      <c r="AM25" s="117"/>
      <c r="AN25" s="117"/>
    </row>
    <row r="26" spans="1:40">
      <c r="A26" s="143" t="s">
        <v>39</v>
      </c>
      <c r="B26" s="117">
        <v>2020</v>
      </c>
      <c r="C26" s="117" t="s">
        <v>180</v>
      </c>
      <c r="D26" s="9" t="s">
        <v>98</v>
      </c>
      <c r="E26" s="136">
        <f t="shared" si="3"/>
        <v>14.06772703280042</v>
      </c>
      <c r="F26" s="1090" t="s">
        <v>1132</v>
      </c>
      <c r="G26" s="1090"/>
      <c r="H26" s="1090"/>
      <c r="I26" s="1090"/>
      <c r="U26" s="143" t="s">
        <v>39</v>
      </c>
      <c r="V26" s="117">
        <v>2021</v>
      </c>
      <c r="W26" s="117" t="s">
        <v>180</v>
      </c>
      <c r="X26" s="9" t="s">
        <v>88</v>
      </c>
      <c r="Y26" s="136">
        <f>Y16*H7</f>
        <v>20.579531861873875</v>
      </c>
      <c r="Z26" s="117" t="s">
        <v>1132</v>
      </c>
      <c r="AA26" s="117"/>
      <c r="AB26" s="117"/>
      <c r="AC26" s="117"/>
      <c r="AF26" s="143" t="s">
        <v>39</v>
      </c>
      <c r="AG26" s="117">
        <v>2021</v>
      </c>
      <c r="AH26" s="117" t="s">
        <v>182</v>
      </c>
      <c r="AI26" s="9" t="s">
        <v>88</v>
      </c>
      <c r="AJ26" s="136">
        <f>AJ16*H7</f>
        <v>605.19888307705389</v>
      </c>
      <c r="AK26" s="117" t="s">
        <v>1132</v>
      </c>
      <c r="AL26" s="117"/>
      <c r="AM26" s="117"/>
      <c r="AN26" s="117"/>
    </row>
    <row r="27" spans="1:40">
      <c r="B27" s="7"/>
      <c r="D27" s="26"/>
      <c r="E27" s="106"/>
      <c r="U27" s="143" t="s">
        <v>39</v>
      </c>
      <c r="V27" s="117">
        <v>2021</v>
      </c>
      <c r="W27" s="117" t="s">
        <v>180</v>
      </c>
      <c r="X27" s="9" t="s">
        <v>89</v>
      </c>
      <c r="Y27" s="136">
        <f>Y16*H8</f>
        <v>7.3581744161423543</v>
      </c>
      <c r="Z27" s="117" t="s">
        <v>1132</v>
      </c>
      <c r="AA27" s="117"/>
      <c r="AB27" s="117"/>
      <c r="AC27" s="117"/>
      <c r="AF27" s="143" t="s">
        <v>39</v>
      </c>
      <c r="AG27" s="117">
        <v>2021</v>
      </c>
      <c r="AH27" s="117" t="s">
        <v>182</v>
      </c>
      <c r="AI27" s="9" t="s">
        <v>89</v>
      </c>
      <c r="AJ27" s="136">
        <f>AJ16*H8</f>
        <v>216.38776664232742</v>
      </c>
      <c r="AK27" s="117" t="s">
        <v>1132</v>
      </c>
      <c r="AL27" s="117"/>
      <c r="AM27" s="117"/>
      <c r="AN27" s="117"/>
    </row>
    <row r="28" spans="1:40" s="131" customFormat="1" ht="30" customHeight="1">
      <c r="A28" s="1191" t="s">
        <v>781</v>
      </c>
      <c r="B28" s="1192"/>
      <c r="C28" s="1192"/>
      <c r="D28" s="1192"/>
      <c r="E28" s="1192"/>
      <c r="F28" s="1192"/>
      <c r="G28" s="1192"/>
      <c r="H28" s="1192"/>
      <c r="I28" s="1192"/>
      <c r="J28" s="1192"/>
      <c r="K28" s="1192"/>
      <c r="L28" s="1192"/>
      <c r="M28" s="1192"/>
      <c r="N28" s="1192"/>
      <c r="O28" s="1192"/>
      <c r="P28" s="1192"/>
      <c r="Q28" s="1192"/>
      <c r="R28" s="1193"/>
      <c r="U28" s="143" t="s">
        <v>39</v>
      </c>
      <c r="V28" s="117">
        <v>2021</v>
      </c>
      <c r="W28" s="117" t="s">
        <v>180</v>
      </c>
      <c r="X28" s="9" t="s">
        <v>90</v>
      </c>
      <c r="Y28" s="136">
        <f>Y16*H9</f>
        <v>11.724473809371505</v>
      </c>
      <c r="Z28" s="117" t="s">
        <v>1132</v>
      </c>
      <c r="AA28" s="117"/>
      <c r="AB28" s="117"/>
      <c r="AC28" s="117"/>
      <c r="AF28" s="143" t="s">
        <v>39</v>
      </c>
      <c r="AG28" s="117">
        <v>2021</v>
      </c>
      <c r="AH28" s="117" t="s">
        <v>182</v>
      </c>
      <c r="AI28" s="9" t="s">
        <v>90</v>
      </c>
      <c r="AJ28" s="136">
        <f>AJ16*H9</f>
        <v>344.79105266934431</v>
      </c>
      <c r="AK28" s="117" t="s">
        <v>1132</v>
      </c>
      <c r="AL28" s="117"/>
      <c r="AM28" s="117"/>
      <c r="AN28" s="117"/>
    </row>
    <row r="29" spans="1:40" ht="30" customHeight="1">
      <c r="A29" s="140" t="s">
        <v>100</v>
      </c>
      <c r="B29" s="140" t="s">
        <v>101</v>
      </c>
      <c r="C29" s="140" t="s">
        <v>131</v>
      </c>
      <c r="D29" s="140" t="s">
        <v>102</v>
      </c>
      <c r="E29" s="140" t="s">
        <v>890</v>
      </c>
      <c r="F29" s="1088" t="s">
        <v>104</v>
      </c>
      <c r="G29" s="1088"/>
      <c r="H29" s="1088"/>
      <c r="I29" s="1088"/>
      <c r="U29" s="143" t="s">
        <v>39</v>
      </c>
      <c r="V29" s="117">
        <v>2021</v>
      </c>
      <c r="W29" s="117" t="s">
        <v>180</v>
      </c>
      <c r="X29" s="9" t="s">
        <v>91</v>
      </c>
      <c r="Y29" s="136">
        <f>Y16*H10</f>
        <v>100.1639624060858</v>
      </c>
      <c r="Z29" s="117" t="s">
        <v>1132</v>
      </c>
      <c r="AA29" s="117"/>
      <c r="AB29" s="117"/>
      <c r="AC29" s="117"/>
      <c r="AF29" s="143" t="s">
        <v>39</v>
      </c>
      <c r="AG29" s="117">
        <v>2021</v>
      </c>
      <c r="AH29" s="117" t="s">
        <v>182</v>
      </c>
      <c r="AI29" s="9" t="s">
        <v>91</v>
      </c>
      <c r="AJ29" s="136">
        <f>AJ16*H10</f>
        <v>2945.6023868569887</v>
      </c>
      <c r="AK29" s="117" t="s">
        <v>1132</v>
      </c>
      <c r="AL29" s="117"/>
      <c r="AM29" s="117"/>
      <c r="AN29" s="117"/>
    </row>
    <row r="30" spans="1:40">
      <c r="A30" s="143" t="s">
        <v>39</v>
      </c>
      <c r="B30" s="117">
        <v>2020</v>
      </c>
      <c r="C30" s="117" t="s">
        <v>182</v>
      </c>
      <c r="D30" s="117" t="s">
        <v>951</v>
      </c>
      <c r="E30" s="117">
        <v>15458.25</v>
      </c>
      <c r="F30" s="1194" t="s">
        <v>1133</v>
      </c>
      <c r="G30" s="1194"/>
      <c r="H30" s="1194"/>
      <c r="I30" s="1194"/>
      <c r="U30" s="143" t="s">
        <v>39</v>
      </c>
      <c r="V30" s="117">
        <v>2021</v>
      </c>
      <c r="W30" s="117" t="s">
        <v>180</v>
      </c>
      <c r="X30" s="9" t="s">
        <v>98</v>
      </c>
      <c r="Y30" s="136">
        <f>Y16*H11</f>
        <v>13.860215362562069</v>
      </c>
      <c r="Z30" s="117" t="s">
        <v>1132</v>
      </c>
      <c r="AA30" s="117"/>
      <c r="AB30" s="117"/>
      <c r="AC30" s="117"/>
      <c r="AF30" s="143" t="s">
        <v>39</v>
      </c>
      <c r="AG30" s="117">
        <v>2021</v>
      </c>
      <c r="AH30" s="117" t="s">
        <v>182</v>
      </c>
      <c r="AI30" s="9" t="s">
        <v>98</v>
      </c>
      <c r="AJ30" s="136">
        <f>AJ16*H11</f>
        <v>407.59852619243202</v>
      </c>
      <c r="AK30" s="117" t="s">
        <v>1132</v>
      </c>
      <c r="AL30" s="117"/>
      <c r="AM30" s="117"/>
      <c r="AN30" s="117"/>
    </row>
    <row r="31" spans="1:40">
      <c r="U31" s="143" t="s">
        <v>39</v>
      </c>
      <c r="V31" s="117">
        <v>2020</v>
      </c>
      <c r="W31" s="117" t="s">
        <v>180</v>
      </c>
      <c r="X31" s="9" t="s">
        <v>85</v>
      </c>
      <c r="Y31" s="136">
        <f>Y17*H4</f>
        <v>179.20538768005665</v>
      </c>
      <c r="Z31" s="117" t="s">
        <v>1132</v>
      </c>
      <c r="AA31" s="117"/>
      <c r="AB31" s="117"/>
      <c r="AC31" s="117"/>
      <c r="AF31" s="143" t="s">
        <v>39</v>
      </c>
      <c r="AG31" s="117">
        <v>2020</v>
      </c>
      <c r="AH31" s="117" t="s">
        <v>182</v>
      </c>
      <c r="AI31" s="9" t="s">
        <v>85</v>
      </c>
      <c r="AJ31" s="136">
        <f>AJ17*H4</f>
        <v>4998.880915889391</v>
      </c>
      <c r="AK31" s="117" t="s">
        <v>1132</v>
      </c>
      <c r="AL31" s="117"/>
      <c r="AM31" s="117"/>
      <c r="AN31" s="117"/>
    </row>
    <row r="32" spans="1:40" ht="30" customHeight="1">
      <c r="A32" s="140" t="s">
        <v>100</v>
      </c>
      <c r="B32" s="140" t="s">
        <v>101</v>
      </c>
      <c r="C32" s="140" t="s">
        <v>131</v>
      </c>
      <c r="D32" s="140" t="s">
        <v>102</v>
      </c>
      <c r="E32" s="140" t="s">
        <v>890</v>
      </c>
      <c r="F32" s="1088" t="s">
        <v>104</v>
      </c>
      <c r="G32" s="1088"/>
      <c r="H32" s="1088"/>
      <c r="I32" s="1088"/>
      <c r="U32" s="143" t="s">
        <v>39</v>
      </c>
      <c r="V32" s="117">
        <v>2020</v>
      </c>
      <c r="W32" s="117" t="s">
        <v>180</v>
      </c>
      <c r="X32" s="9" t="s">
        <v>86</v>
      </c>
      <c r="Y32" s="136">
        <f>Y17*H5</f>
        <v>102.02794810331973</v>
      </c>
      <c r="Z32" s="117" t="s">
        <v>1132</v>
      </c>
      <c r="AA32" s="117"/>
      <c r="AB32" s="117"/>
      <c r="AC32" s="117"/>
      <c r="AF32" s="143" t="s">
        <v>39</v>
      </c>
      <c r="AG32" s="117">
        <v>2020</v>
      </c>
      <c r="AH32" s="117" t="s">
        <v>182</v>
      </c>
      <c r="AI32" s="9" t="s">
        <v>86</v>
      </c>
      <c r="AJ32" s="136">
        <f>AJ17*H5</f>
        <v>2846.0392249568386</v>
      </c>
      <c r="AK32" s="117" t="s">
        <v>1132</v>
      </c>
      <c r="AL32" s="117"/>
      <c r="AM32" s="117"/>
      <c r="AN32" s="117"/>
    </row>
    <row r="33" spans="1:40">
      <c r="A33" s="143" t="s">
        <v>39</v>
      </c>
      <c r="B33" s="117">
        <v>2020</v>
      </c>
      <c r="C33" s="117" t="s">
        <v>182</v>
      </c>
      <c r="D33" s="9" t="s">
        <v>85</v>
      </c>
      <c r="E33" s="136">
        <f t="shared" ref="E33:E40" si="4">H4*$E$30</f>
        <v>5000.3640507314722</v>
      </c>
      <c r="F33" s="1090" t="s">
        <v>1132</v>
      </c>
      <c r="G33" s="1090"/>
      <c r="H33" s="1090"/>
      <c r="I33" s="1090"/>
      <c r="U33" s="143" t="s">
        <v>39</v>
      </c>
      <c r="V33" s="117">
        <v>2020</v>
      </c>
      <c r="W33" s="117" t="s">
        <v>180</v>
      </c>
      <c r="X33" s="9" t="s">
        <v>87</v>
      </c>
      <c r="Y33" s="136">
        <f>Y17*H6</f>
        <v>116.77935273343896</v>
      </c>
      <c r="Z33" s="117" t="s">
        <v>1132</v>
      </c>
      <c r="AA33" s="117"/>
      <c r="AB33" s="117"/>
      <c r="AC33" s="117"/>
      <c r="AF33" s="143" t="s">
        <v>39</v>
      </c>
      <c r="AG33" s="117">
        <v>2020</v>
      </c>
      <c r="AH33" s="117" t="s">
        <v>182</v>
      </c>
      <c r="AI33" s="9" t="s">
        <v>87</v>
      </c>
      <c r="AJ33" s="136">
        <f>AJ17*H6</f>
        <v>3257.5252636451264</v>
      </c>
      <c r="AK33" s="117" t="s">
        <v>1132</v>
      </c>
      <c r="AL33" s="117"/>
      <c r="AM33" s="117"/>
      <c r="AN33" s="117"/>
    </row>
    <row r="34" spans="1:40">
      <c r="A34" s="143" t="s">
        <v>39</v>
      </c>
      <c r="B34" s="117">
        <v>2020</v>
      </c>
      <c r="C34" s="117" t="s">
        <v>182</v>
      </c>
      <c r="D34" s="9" t="s">
        <v>86</v>
      </c>
      <c r="E34" s="136">
        <f t="shared" si="4"/>
        <v>2846.8836259352747</v>
      </c>
      <c r="F34" s="1090" t="s">
        <v>1132</v>
      </c>
      <c r="G34" s="1090"/>
      <c r="H34" s="1090"/>
      <c r="I34" s="1090"/>
      <c r="U34" s="143" t="s">
        <v>39</v>
      </c>
      <c r="V34" s="117">
        <v>2020</v>
      </c>
      <c r="W34" s="117" t="s">
        <v>180</v>
      </c>
      <c r="X34" s="9" t="s">
        <v>88</v>
      </c>
      <c r="Y34" s="136">
        <f>Y17*H7</f>
        <v>20.887643454491393</v>
      </c>
      <c r="Z34" s="117" t="s">
        <v>1132</v>
      </c>
      <c r="AA34" s="117"/>
      <c r="AB34" s="117"/>
      <c r="AC34" s="117"/>
      <c r="AF34" s="143" t="s">
        <v>39</v>
      </c>
      <c r="AG34" s="117">
        <v>2020</v>
      </c>
      <c r="AH34" s="117" t="s">
        <v>182</v>
      </c>
      <c r="AI34" s="9" t="s">
        <v>88</v>
      </c>
      <c r="AJ34" s="136">
        <f>AJ17*H7</f>
        <v>582.65459311399411</v>
      </c>
      <c r="AK34" s="117" t="s">
        <v>1132</v>
      </c>
      <c r="AL34" s="117"/>
      <c r="AM34" s="117"/>
      <c r="AN34" s="117"/>
    </row>
    <row r="35" spans="1:40">
      <c r="A35" s="143" t="s">
        <v>39</v>
      </c>
      <c r="B35" s="117">
        <v>2020</v>
      </c>
      <c r="C35" s="117" t="s">
        <v>182</v>
      </c>
      <c r="D35" s="9" t="s">
        <v>87</v>
      </c>
      <c r="E35" s="136">
        <f t="shared" si="4"/>
        <v>3258.4917498044815</v>
      </c>
      <c r="F35" s="1090" t="s">
        <v>1132</v>
      </c>
      <c r="G35" s="1090"/>
      <c r="H35" s="1090"/>
      <c r="I35" s="1090"/>
      <c r="U35" s="143" t="s">
        <v>39</v>
      </c>
      <c r="V35" s="117">
        <v>2020</v>
      </c>
      <c r="W35" s="117" t="s">
        <v>180</v>
      </c>
      <c r="X35" s="9" t="s">
        <v>89</v>
      </c>
      <c r="Y35" s="136">
        <f>Y17*H8</f>
        <v>7.4683391591176429</v>
      </c>
      <c r="Z35" s="117" t="s">
        <v>1132</v>
      </c>
      <c r="AA35" s="117"/>
      <c r="AB35" s="117"/>
      <c r="AC35" s="117"/>
      <c r="AF35" s="143" t="s">
        <v>39</v>
      </c>
      <c r="AG35" s="117">
        <v>2020</v>
      </c>
      <c r="AH35" s="117" t="s">
        <v>182</v>
      </c>
      <c r="AI35" s="9" t="s">
        <v>89</v>
      </c>
      <c r="AJ35" s="136">
        <f>AJ17*H8</f>
        <v>208.32709651874683</v>
      </c>
      <c r="AK35" s="117" t="s">
        <v>1132</v>
      </c>
      <c r="AL35" s="117"/>
      <c r="AM35" s="117"/>
      <c r="AN35" s="117"/>
    </row>
    <row r="36" spans="1:40">
      <c r="A36" s="143" t="s">
        <v>39</v>
      </c>
      <c r="B36" s="117">
        <v>2020</v>
      </c>
      <c r="C36" s="117" t="s">
        <v>182</v>
      </c>
      <c r="D36" s="9" t="s">
        <v>88</v>
      </c>
      <c r="E36" s="136">
        <f t="shared" si="4"/>
        <v>582.82746287074292</v>
      </c>
      <c r="F36" s="1090" t="s">
        <v>1132</v>
      </c>
      <c r="G36" s="1090"/>
      <c r="H36" s="1090"/>
      <c r="I36" s="1090"/>
      <c r="U36" s="143" t="s">
        <v>39</v>
      </c>
      <c r="V36" s="117">
        <v>2020</v>
      </c>
      <c r="W36" s="117" t="s">
        <v>180</v>
      </c>
      <c r="X36" s="9" t="s">
        <v>90</v>
      </c>
      <c r="Y36" s="136">
        <f>Y17*H9</f>
        <v>11.900009692415585</v>
      </c>
      <c r="Z36" s="117" t="s">
        <v>1132</v>
      </c>
      <c r="AA36" s="117"/>
      <c r="AB36" s="117"/>
      <c r="AC36" s="117"/>
      <c r="AF36" s="143" t="s">
        <v>39</v>
      </c>
      <c r="AG36" s="117">
        <v>2020</v>
      </c>
      <c r="AH36" s="117" t="s">
        <v>182</v>
      </c>
      <c r="AI36" s="9" t="s">
        <v>90</v>
      </c>
      <c r="AJ36" s="136">
        <f>AJ17*H9</f>
        <v>331.94722614321932</v>
      </c>
      <c r="AK36" s="117" t="s">
        <v>1132</v>
      </c>
      <c r="AL36" s="117"/>
      <c r="AM36" s="117"/>
      <c r="AN36" s="117"/>
    </row>
    <row r="37" spans="1:40">
      <c r="A37" s="143" t="s">
        <v>39</v>
      </c>
      <c r="B37" s="117">
        <v>2020</v>
      </c>
      <c r="C37" s="117" t="s">
        <v>182</v>
      </c>
      <c r="D37" s="9" t="s">
        <v>89</v>
      </c>
      <c r="E37" s="136">
        <f t="shared" si="4"/>
        <v>208.38890578778032</v>
      </c>
      <c r="F37" s="1090" t="s">
        <v>1132</v>
      </c>
      <c r="G37" s="1090"/>
      <c r="H37" s="1090"/>
      <c r="I37" s="1090"/>
      <c r="U37" s="143" t="s">
        <v>39</v>
      </c>
      <c r="V37" s="117">
        <v>2020</v>
      </c>
      <c r="W37" s="117" t="s">
        <v>180</v>
      </c>
      <c r="X37" s="9" t="s">
        <v>91</v>
      </c>
      <c r="Y37" s="136">
        <f>Y17*H10</f>
        <v>101.66359214435965</v>
      </c>
      <c r="Z37" s="117" t="s">
        <v>1132</v>
      </c>
      <c r="AA37" s="117"/>
      <c r="AB37" s="117"/>
      <c r="AC37" s="117"/>
      <c r="AF37" s="143" t="s">
        <v>39</v>
      </c>
      <c r="AG37" s="117">
        <v>2020</v>
      </c>
      <c r="AH37" s="117" t="s">
        <v>182</v>
      </c>
      <c r="AI37" s="9" t="s">
        <v>91</v>
      </c>
      <c r="AJ37" s="136">
        <f>AJ17*H10</f>
        <v>2835.8756239992163</v>
      </c>
      <c r="AK37" s="117" t="s">
        <v>1132</v>
      </c>
      <c r="AL37" s="117"/>
      <c r="AM37" s="117"/>
      <c r="AN37" s="117"/>
    </row>
    <row r="38" spans="1:40">
      <c r="A38" s="143" t="s">
        <v>39</v>
      </c>
      <c r="B38" s="117">
        <v>2020</v>
      </c>
      <c r="C38" s="117" t="s">
        <v>182</v>
      </c>
      <c r="D38" s="9" t="s">
        <v>90</v>
      </c>
      <c r="E38" s="136">
        <f t="shared" si="4"/>
        <v>332.04571268552922</v>
      </c>
      <c r="F38" s="1090" t="s">
        <v>1132</v>
      </c>
      <c r="G38" s="1090"/>
      <c r="H38" s="1090"/>
      <c r="I38" s="1090"/>
      <c r="U38" s="143" t="s">
        <v>39</v>
      </c>
      <c r="V38" s="117">
        <v>2020</v>
      </c>
      <c r="W38" s="117" t="s">
        <v>180</v>
      </c>
      <c r="X38" s="9" t="s">
        <v>98</v>
      </c>
      <c r="Y38" s="136">
        <f>Y17*H11</f>
        <v>14.06772703280042</v>
      </c>
      <c r="Z38" s="117" t="s">
        <v>1132</v>
      </c>
      <c r="AA38" s="117"/>
      <c r="AB38" s="117"/>
      <c r="AC38" s="117"/>
      <c r="AF38" s="143" t="s">
        <v>39</v>
      </c>
      <c r="AG38" s="117">
        <v>2020</v>
      </c>
      <c r="AH38" s="117" t="s">
        <v>182</v>
      </c>
      <c r="AI38" s="9" t="s">
        <v>98</v>
      </c>
      <c r="AJ38" s="136">
        <f>AJ17*H11</f>
        <v>392.41505573346876</v>
      </c>
      <c r="AK38" s="117" t="s">
        <v>1132</v>
      </c>
      <c r="AL38" s="117"/>
      <c r="AM38" s="117"/>
      <c r="AN38" s="117"/>
    </row>
    <row r="39" spans="1:40">
      <c r="A39" s="143" t="s">
        <v>39</v>
      </c>
      <c r="B39" s="117">
        <v>2020</v>
      </c>
      <c r="C39" s="117" t="s">
        <v>182</v>
      </c>
      <c r="D39" s="9" t="s">
        <v>91</v>
      </c>
      <c r="E39" s="136">
        <f t="shared" si="4"/>
        <v>2836.7170095045985</v>
      </c>
      <c r="F39" s="1090" t="s">
        <v>1132</v>
      </c>
      <c r="G39" s="1090"/>
      <c r="H39" s="1090"/>
      <c r="I39" s="1090"/>
      <c r="U39" s="143" t="s">
        <v>39</v>
      </c>
      <c r="V39" s="117">
        <v>2019</v>
      </c>
      <c r="W39" s="117" t="s">
        <v>180</v>
      </c>
      <c r="X39" s="9" t="s">
        <v>85</v>
      </c>
      <c r="Y39" s="136">
        <f>Y18*H4</f>
        <v>169.17764938027008</v>
      </c>
      <c r="Z39" s="117" t="s">
        <v>1132</v>
      </c>
      <c r="AA39" s="117"/>
      <c r="AB39" s="117"/>
      <c r="AC39" s="117"/>
      <c r="AF39" s="143" t="s">
        <v>39</v>
      </c>
      <c r="AG39" s="117">
        <v>2019</v>
      </c>
      <c r="AH39" s="117" t="s">
        <v>182</v>
      </c>
      <c r="AI39" s="9" t="s">
        <v>85</v>
      </c>
      <c r="AJ39" s="136">
        <f>AJ18*H4</f>
        <v>4937.1368964233152</v>
      </c>
      <c r="AK39" s="117" t="s">
        <v>1132</v>
      </c>
      <c r="AL39" s="117"/>
      <c r="AM39" s="117"/>
      <c r="AN39" s="117"/>
    </row>
    <row r="40" spans="1:40">
      <c r="A40" s="143" t="s">
        <v>39</v>
      </c>
      <c r="B40" s="117">
        <v>2020</v>
      </c>
      <c r="C40" s="117" t="s">
        <v>182</v>
      </c>
      <c r="D40" s="9" t="s">
        <v>98</v>
      </c>
      <c r="E40" s="136">
        <f t="shared" si="4"/>
        <v>392.53148268012109</v>
      </c>
      <c r="F40" s="1090" t="s">
        <v>1132</v>
      </c>
      <c r="G40" s="1090"/>
      <c r="H40" s="1090"/>
      <c r="I40" s="1090"/>
      <c r="U40" s="143" t="s">
        <v>39</v>
      </c>
      <c r="V40" s="117">
        <v>2019</v>
      </c>
      <c r="W40" s="117" t="s">
        <v>180</v>
      </c>
      <c r="X40" s="9" t="s">
        <v>86</v>
      </c>
      <c r="Y40" s="136">
        <f>Y18*H5</f>
        <v>96.318802992845164</v>
      </c>
      <c r="Z40" s="117" t="s">
        <v>1132</v>
      </c>
      <c r="AA40" s="117"/>
      <c r="AB40" s="117"/>
      <c r="AC40" s="117"/>
      <c r="AF40" s="143" t="s">
        <v>39</v>
      </c>
      <c r="AG40" s="117">
        <v>2019</v>
      </c>
      <c r="AH40" s="117" t="s">
        <v>182</v>
      </c>
      <c r="AI40" s="9" t="s">
        <v>86</v>
      </c>
      <c r="AJ40" s="136">
        <f>AJ18*H5</f>
        <v>2810.8861768519337</v>
      </c>
      <c r="AK40" s="117" t="s">
        <v>1132</v>
      </c>
      <c r="AL40" s="117"/>
      <c r="AM40" s="117"/>
      <c r="AN40" s="117"/>
    </row>
    <row r="41" spans="1:40">
      <c r="U41" s="143" t="s">
        <v>39</v>
      </c>
      <c r="V41" s="117">
        <v>2019</v>
      </c>
      <c r="W41" s="117" t="s">
        <v>180</v>
      </c>
      <c r="X41" s="9" t="s">
        <v>87</v>
      </c>
      <c r="Y41" s="136">
        <f>Y18*H6</f>
        <v>110.24476801369778</v>
      </c>
      <c r="Z41" s="117" t="s">
        <v>1132</v>
      </c>
      <c r="AA41" s="117"/>
      <c r="AB41" s="117"/>
      <c r="AC41" s="117"/>
      <c r="AF41" s="143" t="s">
        <v>39</v>
      </c>
      <c r="AG41" s="117">
        <v>2019</v>
      </c>
      <c r="AH41" s="117" t="s">
        <v>182</v>
      </c>
      <c r="AI41" s="9" t="s">
        <v>87</v>
      </c>
      <c r="AJ41" s="136">
        <f>AJ18*H6</f>
        <v>3217.2897175951252</v>
      </c>
      <c r="AK41" s="117" t="s">
        <v>1132</v>
      </c>
      <c r="AL41" s="117"/>
      <c r="AM41" s="117"/>
      <c r="AN41" s="117"/>
    </row>
    <row r="42" spans="1:40" ht="30" customHeight="1">
      <c r="A42" s="1191" t="s">
        <v>15</v>
      </c>
      <c r="B42" s="1192"/>
      <c r="C42" s="1192"/>
      <c r="D42" s="1192"/>
      <c r="E42" s="1192"/>
      <c r="F42" s="1192"/>
      <c r="G42" s="1192"/>
      <c r="H42" s="1192"/>
      <c r="I42" s="1192"/>
      <c r="J42" s="1192"/>
      <c r="K42" s="1192"/>
      <c r="L42" s="1192"/>
      <c r="M42" s="1192"/>
      <c r="N42" s="1192"/>
      <c r="O42" s="1192"/>
      <c r="P42" s="1192"/>
      <c r="Q42" s="1192"/>
      <c r="R42" s="1193"/>
      <c r="U42" s="143" t="s">
        <v>39</v>
      </c>
      <c r="V42" s="117">
        <v>2019</v>
      </c>
      <c r="W42" s="117" t="s">
        <v>180</v>
      </c>
      <c r="X42" s="9" t="s">
        <v>88</v>
      </c>
      <c r="Y42" s="136">
        <f>Y18*H7</f>
        <v>19.71884030090072</v>
      </c>
      <c r="Z42" s="117" t="s">
        <v>1132</v>
      </c>
      <c r="AA42" s="117"/>
      <c r="AB42" s="117"/>
      <c r="AC42" s="117"/>
      <c r="AF42" s="143" t="s">
        <v>39</v>
      </c>
      <c r="AG42" s="117">
        <v>2019</v>
      </c>
      <c r="AH42" s="117" t="s">
        <v>182</v>
      </c>
      <c r="AI42" s="9" t="s">
        <v>88</v>
      </c>
      <c r="AJ42" s="136">
        <f>AJ18*H7</f>
        <v>575.45789506406095</v>
      </c>
      <c r="AK42" s="117" t="s">
        <v>1132</v>
      </c>
      <c r="AL42" s="117"/>
      <c r="AM42" s="117"/>
      <c r="AN42" s="117"/>
    </row>
    <row r="43" spans="1:40" ht="30" customHeight="1" thickBot="1">
      <c r="A43" s="1202" t="s">
        <v>1134</v>
      </c>
      <c r="B43" s="1203"/>
      <c r="C43" s="1203"/>
      <c r="D43" s="1203"/>
      <c r="E43" s="1203"/>
      <c r="F43" s="1203"/>
      <c r="G43" s="1203"/>
      <c r="H43" s="1203"/>
      <c r="I43" s="1203"/>
      <c r="J43" s="1203"/>
      <c r="K43" s="1203"/>
      <c r="L43" s="1203"/>
      <c r="M43" s="1203"/>
      <c r="N43" s="1203"/>
      <c r="O43" s="1203"/>
      <c r="P43" s="1203"/>
      <c r="Q43" s="1203"/>
      <c r="R43" s="1204"/>
      <c r="U43" s="143" t="s">
        <v>39</v>
      </c>
      <c r="V43" s="117">
        <v>2019</v>
      </c>
      <c r="W43" s="117" t="s">
        <v>180</v>
      </c>
      <c r="X43" s="9" t="s">
        <v>89</v>
      </c>
      <c r="Y43" s="136">
        <f>Y18*H8</f>
        <v>7.0504357043655723</v>
      </c>
      <c r="Z43" s="117" t="s">
        <v>1132</v>
      </c>
      <c r="AA43" s="117"/>
      <c r="AB43" s="117"/>
      <c r="AC43" s="117"/>
      <c r="AF43" s="143" t="s">
        <v>39</v>
      </c>
      <c r="AG43" s="117">
        <v>2019</v>
      </c>
      <c r="AH43" s="117" t="s">
        <v>182</v>
      </c>
      <c r="AI43" s="9" t="s">
        <v>89</v>
      </c>
      <c r="AJ43" s="136">
        <f>AJ18*H8</f>
        <v>205.7539301402723</v>
      </c>
      <c r="AK43" s="117" t="s">
        <v>1132</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1132</v>
      </c>
      <c r="AA44" s="117"/>
      <c r="AB44" s="117"/>
      <c r="AC44" s="117"/>
      <c r="AF44" s="143" t="s">
        <v>39</v>
      </c>
      <c r="AG44" s="117">
        <v>2019</v>
      </c>
      <c r="AH44" s="117" t="s">
        <v>182</v>
      </c>
      <c r="AI44" s="9" t="s">
        <v>90</v>
      </c>
      <c r="AJ44" s="136">
        <f>AJ18*H9</f>
        <v>327.84715728029653</v>
      </c>
      <c r="AK44" s="117" t="s">
        <v>1132</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1132</v>
      </c>
      <c r="AA45" s="117"/>
      <c r="AB45" s="117"/>
      <c r="AC45" s="117"/>
      <c r="AF45" s="143" t="s">
        <v>39</v>
      </c>
      <c r="AG45" s="117">
        <v>2019</v>
      </c>
      <c r="AH45" s="117" t="s">
        <v>182</v>
      </c>
      <c r="AI45" s="9" t="s">
        <v>91</v>
      </c>
      <c r="AJ45" s="136">
        <f>AJ18*H10</f>
        <v>2800.8481123065467</v>
      </c>
      <c r="AK45" s="117" t="s">
        <v>1132</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1132</v>
      </c>
      <c r="AA46" s="117"/>
      <c r="AB46" s="117"/>
      <c r="AC46" s="117"/>
      <c r="AF46" s="143" t="s">
        <v>39</v>
      </c>
      <c r="AG46" s="117">
        <v>2019</v>
      </c>
      <c r="AH46" s="117" t="s">
        <v>182</v>
      </c>
      <c r="AI46" s="9" t="s">
        <v>98</v>
      </c>
      <c r="AJ46" s="136">
        <f>AJ18*H11</f>
        <v>387.56811433845098</v>
      </c>
      <c r="AK46" s="117" t="s">
        <v>1132</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1132</v>
      </c>
      <c r="AA47" s="117"/>
      <c r="AB47" s="117"/>
      <c r="AC47" s="117"/>
      <c r="AF47" s="143" t="s">
        <v>39</v>
      </c>
      <c r="AG47" s="117">
        <v>2018</v>
      </c>
      <c r="AH47" s="117" t="s">
        <v>182</v>
      </c>
      <c r="AI47" s="9" t="s">
        <v>85</v>
      </c>
      <c r="AJ47" s="136">
        <f>AJ19*H4</f>
        <v>4793.0761436805778</v>
      </c>
      <c r="AK47" s="117" t="s">
        <v>1132</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1132</v>
      </c>
      <c r="AA48" s="117"/>
      <c r="AB48" s="117"/>
      <c r="AC48" s="117"/>
      <c r="AF48" s="143" t="s">
        <v>39</v>
      </c>
      <c r="AG48" s="117">
        <v>2018</v>
      </c>
      <c r="AH48" s="117" t="s">
        <v>182</v>
      </c>
      <c r="AI48" s="9" t="s">
        <v>86</v>
      </c>
      <c r="AJ48" s="136">
        <f>AJ19*H5</f>
        <v>2728.8673090330567</v>
      </c>
      <c r="AK48" s="117" t="s">
        <v>1132</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1132</v>
      </c>
      <c r="AA49" s="117"/>
      <c r="AB49" s="117"/>
      <c r="AC49" s="117"/>
      <c r="AF49" s="143" t="s">
        <v>39</v>
      </c>
      <c r="AG49" s="117">
        <v>2018</v>
      </c>
      <c r="AH49" s="117" t="s">
        <v>182</v>
      </c>
      <c r="AI49" s="9" t="s">
        <v>87</v>
      </c>
      <c r="AJ49" s="136">
        <f>AJ19*H6</f>
        <v>3123.4123979599349</v>
      </c>
      <c r="AK49" s="117" t="s">
        <v>1132</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1132</v>
      </c>
      <c r="AA50" s="117"/>
      <c r="AB50" s="117"/>
      <c r="AC50" s="117"/>
      <c r="AF50" s="143" t="s">
        <v>39</v>
      </c>
      <c r="AG50" s="117">
        <v>2018</v>
      </c>
      <c r="AH50" s="117" t="s">
        <v>182</v>
      </c>
      <c r="AI50" s="9" t="s">
        <v>88</v>
      </c>
      <c r="AJ50" s="136">
        <f>AJ19*H7</f>
        <v>558.66660503628452</v>
      </c>
      <c r="AK50" s="117" t="s">
        <v>1132</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1132</v>
      </c>
      <c r="AA51" s="117"/>
      <c r="AB51" s="117"/>
      <c r="AC51" s="117"/>
      <c r="AF51" s="143" t="s">
        <v>39</v>
      </c>
      <c r="AG51" s="117">
        <v>2018</v>
      </c>
      <c r="AH51" s="117" t="s">
        <v>182</v>
      </c>
      <c r="AI51" s="9" t="s">
        <v>89</v>
      </c>
      <c r="AJ51" s="136">
        <f>AJ19*H8</f>
        <v>199.7502347440078</v>
      </c>
      <c r="AK51" s="117" t="s">
        <v>1132</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1132</v>
      </c>
      <c r="AA52" s="117"/>
      <c r="AB52" s="117"/>
      <c r="AC52" s="117"/>
      <c r="AF52" s="143" t="s">
        <v>39</v>
      </c>
      <c r="AG52" s="117">
        <v>2018</v>
      </c>
      <c r="AH52" s="117" t="s">
        <v>182</v>
      </c>
      <c r="AI52" s="9" t="s">
        <v>90</v>
      </c>
      <c r="AJ52" s="136">
        <f>AJ19*H9</f>
        <v>318.28090273779407</v>
      </c>
      <c r="AK52" s="117" t="s">
        <v>1132</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1132</v>
      </c>
      <c r="AA53" s="117"/>
      <c r="AB53" s="117"/>
      <c r="AC53" s="117"/>
      <c r="AF53" s="143" t="s">
        <v>39</v>
      </c>
      <c r="AG53" s="117">
        <v>2018</v>
      </c>
      <c r="AH53" s="117" t="s">
        <v>182</v>
      </c>
      <c r="AI53" s="9" t="s">
        <v>91</v>
      </c>
      <c r="AJ53" s="136">
        <f>AJ19*H10</f>
        <v>2719.1221452446925</v>
      </c>
      <c r="AK53" s="117" t="s">
        <v>1132</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1132</v>
      </c>
      <c r="AA54" s="117"/>
      <c r="AB54" s="117"/>
      <c r="AC54" s="117"/>
      <c r="AF54" s="143" t="s">
        <v>39</v>
      </c>
      <c r="AG54" s="117">
        <v>2018</v>
      </c>
      <c r="AH54" s="117" t="s">
        <v>182</v>
      </c>
      <c r="AI54" s="9" t="s">
        <v>98</v>
      </c>
      <c r="AJ54" s="136">
        <f>AJ19*H11</f>
        <v>376.25926156365176</v>
      </c>
      <c r="AK54" s="117" t="s">
        <v>1132</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1132</v>
      </c>
      <c r="AA55" s="117"/>
      <c r="AB55" s="117"/>
      <c r="AC55" s="117"/>
      <c r="AF55" s="143" t="s">
        <v>39</v>
      </c>
      <c r="AG55" s="117">
        <v>2017</v>
      </c>
      <c r="AH55" s="117" t="s">
        <v>182</v>
      </c>
      <c r="AI55" s="9" t="s">
        <v>85</v>
      </c>
      <c r="AJ55" s="136">
        <f>AJ20*H4</f>
        <v>4707.1416612056973</v>
      </c>
      <c r="AK55" s="117" t="s">
        <v>1132</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1132</v>
      </c>
      <c r="AA56" s="117"/>
      <c r="AB56" s="117"/>
      <c r="AC56" s="117"/>
      <c r="AF56" s="143" t="s">
        <v>39</v>
      </c>
      <c r="AG56" s="117">
        <v>2017</v>
      </c>
      <c r="AH56" s="117" t="s">
        <v>182</v>
      </c>
      <c r="AI56" s="9" t="s">
        <v>86</v>
      </c>
      <c r="AJ56" s="136">
        <f>AJ20*H5</f>
        <v>2679.9417770960026</v>
      </c>
      <c r="AK56" s="117" t="s">
        <v>1132</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1132</v>
      </c>
      <c r="AA57" s="117"/>
      <c r="AB57" s="117"/>
      <c r="AC57" s="117"/>
      <c r="AF57" s="143" t="s">
        <v>39</v>
      </c>
      <c r="AG57" s="117">
        <v>2017</v>
      </c>
      <c r="AH57" s="117" t="s">
        <v>182</v>
      </c>
      <c r="AI57" s="9" t="s">
        <v>87</v>
      </c>
      <c r="AJ57" s="136">
        <f>AJ20*H6</f>
        <v>3067.413114842308</v>
      </c>
      <c r="AK57" s="117" t="s">
        <v>1132</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1132</v>
      </c>
      <c r="AA58" s="117"/>
      <c r="AB58" s="117"/>
      <c r="AC58" s="117"/>
      <c r="AF58" s="143" t="s">
        <v>39</v>
      </c>
      <c r="AG58" s="117">
        <v>2017</v>
      </c>
      <c r="AH58" s="117" t="s">
        <v>182</v>
      </c>
      <c r="AI58" s="9" t="s">
        <v>88</v>
      </c>
      <c r="AJ58" s="136">
        <f>AJ20*H7</f>
        <v>548.65033904328789</v>
      </c>
      <c r="AK58" s="117" t="s">
        <v>1132</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1132</v>
      </c>
      <c r="AA59" s="117"/>
      <c r="AB59" s="117"/>
      <c r="AC59" s="117"/>
      <c r="AF59" s="143" t="s">
        <v>39</v>
      </c>
      <c r="AG59" s="117">
        <v>2017</v>
      </c>
      <c r="AH59" s="117" t="s">
        <v>182</v>
      </c>
      <c r="AI59" s="9" t="s">
        <v>89</v>
      </c>
      <c r="AJ59" s="136">
        <f>AJ20*H8</f>
        <v>196.16893694434862</v>
      </c>
      <c r="AK59" s="117" t="s">
        <v>1132</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1132</v>
      </c>
      <c r="AA60" s="117"/>
      <c r="AB60" s="117"/>
      <c r="AC60" s="117"/>
      <c r="AF60" s="143" t="s">
        <v>39</v>
      </c>
      <c r="AG60" s="117">
        <v>2017</v>
      </c>
      <c r="AH60" s="117" t="s">
        <v>182</v>
      </c>
      <c r="AI60" s="9" t="s">
        <v>90</v>
      </c>
      <c r="AJ60" s="136">
        <f>AJ20*H9</f>
        <v>312.57448292752849</v>
      </c>
      <c r="AK60" s="117" t="s">
        <v>1132</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090" t="s">
        <v>1132</v>
      </c>
      <c r="AA61" s="1090"/>
      <c r="AB61" s="1090"/>
      <c r="AC61" s="1090"/>
      <c r="AF61" s="143" t="s">
        <v>39</v>
      </c>
      <c r="AG61" s="117">
        <v>2017</v>
      </c>
      <c r="AH61" s="117" t="s">
        <v>182</v>
      </c>
      <c r="AI61" s="9" t="s">
        <v>91</v>
      </c>
      <c r="AJ61" s="136">
        <f>AJ20*H10</f>
        <v>2670.371333170558</v>
      </c>
      <c r="AK61" s="1090" t="s">
        <v>1132</v>
      </c>
      <c r="AL61" s="1090"/>
      <c r="AM61" s="1090"/>
      <c r="AN61" s="1090"/>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090" t="s">
        <v>1132</v>
      </c>
      <c r="AA62" s="1090"/>
      <c r="AB62" s="1090"/>
      <c r="AC62" s="1090"/>
      <c r="AF62" s="143" t="s">
        <v>39</v>
      </c>
      <c r="AG62" s="117">
        <v>2017</v>
      </c>
      <c r="AH62" s="117" t="s">
        <v>182</v>
      </c>
      <c r="AI62" s="9" t="s">
        <v>98</v>
      </c>
      <c r="AJ62" s="136">
        <f>AJ20*H11</f>
        <v>369.51335477026953</v>
      </c>
      <c r="AK62" s="1090" t="s">
        <v>1132</v>
      </c>
      <c r="AL62" s="1090"/>
      <c r="AM62" s="1090"/>
      <c r="AN62" s="1090"/>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7"/>
      <c r="F132" s="878"/>
      <c r="G132" s="161"/>
      <c r="H132" s="879"/>
      <c r="I132" s="71"/>
      <c r="J132" s="71"/>
      <c r="K132" s="71"/>
      <c r="L132" s="71"/>
      <c r="M132" s="575"/>
      <c r="N132" s="880"/>
      <c r="O132" s="7"/>
      <c r="P132" s="6"/>
      <c r="Q132" s="6"/>
    </row>
    <row r="133" spans="1:18" s="2" customFormat="1">
      <c r="A133" s="1188" t="s">
        <v>982</v>
      </c>
      <c r="B133" s="1188"/>
      <c r="C133" s="1188"/>
      <c r="D133" s="1188"/>
      <c r="E133" s="1188"/>
      <c r="F133" s="1188"/>
      <c r="G133" s="1188"/>
      <c r="H133" s="1188"/>
      <c r="I133" s="1188"/>
      <c r="J133" s="1188"/>
      <c r="K133" s="1188"/>
      <c r="L133" s="1188"/>
      <c r="M133" s="1188"/>
      <c r="N133" s="1188"/>
      <c r="O133" s="1188"/>
      <c r="P133" s="1188"/>
      <c r="Q133" s="6"/>
    </row>
    <row r="134" spans="1:18">
      <c r="A134" s="1188"/>
      <c r="B134" s="1188"/>
      <c r="C134" s="1188"/>
      <c r="D134" s="1188"/>
      <c r="E134" s="1188"/>
      <c r="F134" s="1188"/>
      <c r="G134" s="1188"/>
      <c r="H134" s="1188"/>
      <c r="I134" s="1188"/>
      <c r="J134" s="1188"/>
      <c r="K134" s="1188"/>
      <c r="L134" s="1188"/>
      <c r="M134" s="1188"/>
      <c r="N134" s="1188"/>
      <c r="O134" s="1188"/>
      <c r="P134" s="1188"/>
      <c r="Q134" s="334"/>
      <c r="R134" s="334"/>
    </row>
    <row r="135" spans="1:18" ht="15" customHeight="1">
      <c r="A135" s="1195" t="s">
        <v>100</v>
      </c>
      <c r="B135" s="1207" t="s">
        <v>101</v>
      </c>
      <c r="C135" s="1207" t="s">
        <v>131</v>
      </c>
      <c r="D135" s="1207" t="s">
        <v>102</v>
      </c>
      <c r="E135" s="1097" t="s">
        <v>890</v>
      </c>
      <c r="F135" s="1104"/>
      <c r="G135" s="1098"/>
      <c r="H135" s="1207" t="s">
        <v>104</v>
      </c>
      <c r="I135" s="1189" t="s">
        <v>134</v>
      </c>
      <c r="J135" s="1189" t="s">
        <v>65</v>
      </c>
      <c r="K135" s="1189" t="s">
        <v>67</v>
      </c>
      <c r="L135" s="1189" t="s">
        <v>73</v>
      </c>
      <c r="M135" s="1189" t="s">
        <v>79</v>
      </c>
      <c r="N135" s="1205" t="s">
        <v>106</v>
      </c>
    </row>
    <row r="136" spans="1:18" ht="15" customHeight="1">
      <c r="A136" s="1117"/>
      <c r="B136" s="1117"/>
      <c r="C136" s="1117"/>
      <c r="D136" s="1117"/>
      <c r="E136" s="140" t="s">
        <v>1135</v>
      </c>
      <c r="F136" s="140" t="s">
        <v>1136</v>
      </c>
      <c r="G136" s="140" t="s">
        <v>775</v>
      </c>
      <c r="H136" s="1117"/>
      <c r="I136" s="1190"/>
      <c r="J136" s="1190"/>
      <c r="K136" s="1190"/>
      <c r="L136" s="1190"/>
      <c r="M136" s="1190"/>
      <c r="N136" s="1206"/>
    </row>
    <row r="137" spans="1:18">
      <c r="A137" s="143" t="s">
        <v>1137</v>
      </c>
      <c r="B137" s="117">
        <v>2019</v>
      </c>
      <c r="C137" s="117" t="s">
        <v>180</v>
      </c>
      <c r="D137" s="117" t="s">
        <v>1138</v>
      </c>
      <c r="E137" s="117">
        <v>125.38</v>
      </c>
      <c r="F137" s="117">
        <v>137.35</v>
      </c>
      <c r="G137" s="130">
        <f>AVERAGE(E137:F137)</f>
        <v>131.36500000000001</v>
      </c>
      <c r="H137" s="9" t="s">
        <v>1139</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1137</v>
      </c>
      <c r="B138" s="117">
        <v>2019</v>
      </c>
      <c r="C138" s="117" t="s">
        <v>180</v>
      </c>
      <c r="D138" s="117" t="s">
        <v>87</v>
      </c>
      <c r="E138" s="117">
        <v>60.31</v>
      </c>
      <c r="F138" s="117">
        <v>68.650000000000006</v>
      </c>
      <c r="G138" s="130">
        <f t="shared" ref="G138:G141" si="6">AVERAGE(E138:F138)</f>
        <v>64.48</v>
      </c>
      <c r="H138" s="9" t="s">
        <v>1139</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1137</v>
      </c>
      <c r="B139" s="117">
        <v>2019</v>
      </c>
      <c r="C139" s="117" t="s">
        <v>180</v>
      </c>
      <c r="D139" s="117" t="s">
        <v>91</v>
      </c>
      <c r="E139" s="117">
        <v>61.79</v>
      </c>
      <c r="F139" s="117">
        <v>63.96</v>
      </c>
      <c r="G139" s="130">
        <f t="shared" si="6"/>
        <v>62.875</v>
      </c>
      <c r="H139" s="9" t="s">
        <v>1139</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1137</v>
      </c>
      <c r="B140" s="117">
        <v>2019</v>
      </c>
      <c r="C140" s="117" t="s">
        <v>180</v>
      </c>
      <c r="D140" s="117" t="s">
        <v>90</v>
      </c>
      <c r="E140" s="117">
        <v>8.7799999999999994</v>
      </c>
      <c r="F140" s="117">
        <v>10.83</v>
      </c>
      <c r="G140" s="130">
        <f t="shared" si="6"/>
        <v>9.8049999999999997</v>
      </c>
      <c r="H140" s="9" t="s">
        <v>1139</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1137</v>
      </c>
      <c r="B141" s="117">
        <v>2019</v>
      </c>
      <c r="C141" s="117" t="s">
        <v>180</v>
      </c>
      <c r="D141" s="117" t="s">
        <v>127</v>
      </c>
      <c r="E141" s="117">
        <v>26.43</v>
      </c>
      <c r="F141" s="117">
        <v>29.21</v>
      </c>
      <c r="G141" s="130">
        <f t="shared" si="6"/>
        <v>27.82</v>
      </c>
      <c r="H141" s="9" t="s">
        <v>1139</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1140</v>
      </c>
      <c r="B142" s="127">
        <v>2019</v>
      </c>
      <c r="C142" s="127" t="s">
        <v>180</v>
      </c>
      <c r="D142" s="127" t="s">
        <v>951</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 thickBot="1">
      <c r="B144" s="25"/>
      <c r="D144" s="25"/>
    </row>
    <row r="145" spans="1:16">
      <c r="A145" s="200"/>
      <c r="B145" s="195"/>
      <c r="C145" s="201"/>
      <c r="D145" s="195"/>
      <c r="E145" s="201"/>
      <c r="F145" s="201"/>
      <c r="G145" s="201"/>
      <c r="H145" s="201"/>
      <c r="I145" s="201"/>
      <c r="J145" s="201"/>
      <c r="K145" s="201"/>
      <c r="L145" s="201"/>
      <c r="M145" s="201"/>
      <c r="N145" s="201"/>
      <c r="O145" s="1196" t="s">
        <v>1141</v>
      </c>
      <c r="P145" s="1197"/>
    </row>
    <row r="146" spans="1:16">
      <c r="A146" s="202"/>
      <c r="B146" s="196"/>
      <c r="C146" s="203"/>
      <c r="D146" s="196"/>
      <c r="E146" s="203"/>
      <c r="F146" s="203"/>
      <c r="G146" s="203"/>
      <c r="H146" s="203"/>
      <c r="I146" s="203"/>
      <c r="J146" s="203"/>
      <c r="K146" s="203"/>
      <c r="L146" s="203"/>
      <c r="M146" s="203"/>
      <c r="N146" s="203"/>
      <c r="O146" s="1198"/>
      <c r="P146" s="1199"/>
    </row>
    <row r="147" spans="1:16" ht="15.6">
      <c r="A147" s="204"/>
      <c r="B147" s="196"/>
      <c r="C147" s="203"/>
      <c r="D147" s="196"/>
      <c r="E147" s="203"/>
      <c r="F147" s="203"/>
      <c r="G147" s="203"/>
      <c r="H147" s="203"/>
      <c r="I147" s="203"/>
      <c r="J147" s="203"/>
      <c r="K147" s="203"/>
      <c r="L147" s="203"/>
      <c r="M147" s="203"/>
      <c r="N147" s="203"/>
      <c r="O147" s="1198"/>
      <c r="P147" s="1199"/>
    </row>
    <row r="148" spans="1:16">
      <c r="A148" s="202"/>
      <c r="B148" s="196"/>
      <c r="C148" s="203"/>
      <c r="D148" s="196"/>
      <c r="E148" s="203"/>
      <c r="F148" s="203"/>
      <c r="G148" s="203"/>
      <c r="H148" s="203"/>
      <c r="I148" s="203"/>
      <c r="J148" s="203"/>
      <c r="K148" s="203"/>
      <c r="L148" s="203"/>
      <c r="M148" s="203"/>
      <c r="N148" s="203"/>
      <c r="O148" s="1198"/>
      <c r="P148" s="1199"/>
    </row>
    <row r="149" spans="1:16">
      <c r="A149" s="202"/>
      <c r="B149" s="196"/>
      <c r="C149" s="203"/>
      <c r="D149" s="196"/>
      <c r="E149" s="203"/>
      <c r="F149" s="203"/>
      <c r="G149" s="203"/>
      <c r="H149" s="203"/>
      <c r="I149" s="203"/>
      <c r="J149" s="203"/>
      <c r="K149" s="203"/>
      <c r="L149" s="203"/>
      <c r="M149" s="203"/>
      <c r="N149" s="203"/>
      <c r="O149" s="1198"/>
      <c r="P149" s="1199"/>
    </row>
    <row r="150" spans="1:16">
      <c r="A150" s="202"/>
      <c r="B150" s="196"/>
      <c r="C150" s="203"/>
      <c r="D150" s="196"/>
      <c r="E150" s="203"/>
      <c r="F150" s="203"/>
      <c r="G150" s="203"/>
      <c r="H150" s="203"/>
      <c r="I150" s="203"/>
      <c r="J150" s="203"/>
      <c r="K150" s="203"/>
      <c r="L150" s="203"/>
      <c r="M150" s="203"/>
      <c r="N150" s="203"/>
      <c r="O150" s="1198"/>
      <c r="P150" s="1199"/>
    </row>
    <row r="151" spans="1:16">
      <c r="A151" s="202"/>
      <c r="B151" s="196"/>
      <c r="C151" s="203"/>
      <c r="D151" s="196"/>
      <c r="E151" s="203"/>
      <c r="F151" s="203"/>
      <c r="G151" s="203"/>
      <c r="H151" s="203"/>
      <c r="I151" s="203"/>
      <c r="J151" s="203"/>
      <c r="K151" s="203"/>
      <c r="L151" s="203"/>
      <c r="M151" s="203"/>
      <c r="N151" s="203"/>
      <c r="O151" s="1198"/>
      <c r="P151" s="1199"/>
    </row>
    <row r="152" spans="1:16">
      <c r="A152" s="202"/>
      <c r="B152" s="196"/>
      <c r="C152" s="203"/>
      <c r="D152" s="196"/>
      <c r="E152" s="203"/>
      <c r="F152" s="203"/>
      <c r="G152" s="203"/>
      <c r="H152" s="203"/>
      <c r="I152" s="203"/>
      <c r="J152" s="203"/>
      <c r="K152" s="203"/>
      <c r="L152" s="203"/>
      <c r="M152" s="203"/>
      <c r="N152" s="203"/>
      <c r="O152" s="1198"/>
      <c r="P152" s="1199"/>
    </row>
    <row r="153" spans="1:16">
      <c r="A153" s="202"/>
      <c r="B153" s="196"/>
      <c r="C153" s="203"/>
      <c r="D153" s="196"/>
      <c r="E153" s="203"/>
      <c r="F153" s="203"/>
      <c r="G153" s="203"/>
      <c r="H153" s="203"/>
      <c r="I153" s="203"/>
      <c r="J153" s="203"/>
      <c r="K153" s="203"/>
      <c r="L153" s="203"/>
      <c r="M153" s="203"/>
      <c r="N153" s="203"/>
      <c r="O153" s="1198"/>
      <c r="P153" s="1199"/>
    </row>
    <row r="154" spans="1:16">
      <c r="A154" s="202"/>
      <c r="B154" s="196"/>
      <c r="C154" s="203"/>
      <c r="D154" s="196"/>
      <c r="E154" s="203"/>
      <c r="F154" s="203"/>
      <c r="G154" s="203"/>
      <c r="H154" s="203"/>
      <c r="I154" s="203"/>
      <c r="J154" s="203"/>
      <c r="K154" s="203"/>
      <c r="L154" s="203"/>
      <c r="M154" s="203"/>
      <c r="N154" s="203"/>
      <c r="O154" s="1198"/>
      <c r="P154" s="1199"/>
    </row>
    <row r="155" spans="1:16">
      <c r="A155" s="202"/>
      <c r="B155" s="196"/>
      <c r="C155" s="203"/>
      <c r="D155" s="196"/>
      <c r="E155" s="203"/>
      <c r="F155" s="203"/>
      <c r="G155" s="203"/>
      <c r="H155" s="203"/>
      <c r="I155" s="203"/>
      <c r="J155" s="203"/>
      <c r="K155" s="203"/>
      <c r="L155" s="203"/>
      <c r="M155" s="203"/>
      <c r="N155" s="203"/>
      <c r="O155" s="1198"/>
      <c r="P155" s="1199"/>
    </row>
    <row r="156" spans="1:16">
      <c r="A156" s="202"/>
      <c r="B156" s="196"/>
      <c r="C156" s="203"/>
      <c r="D156" s="196"/>
      <c r="E156" s="203"/>
      <c r="F156" s="203"/>
      <c r="G156" s="203"/>
      <c r="H156" s="203"/>
      <c r="I156" s="203"/>
      <c r="J156" s="203"/>
      <c r="K156" s="203"/>
      <c r="L156" s="203"/>
      <c r="M156" s="203"/>
      <c r="N156" s="203"/>
      <c r="O156" s="1198"/>
      <c r="P156" s="1199"/>
    </row>
    <row r="157" spans="1:16">
      <c r="A157" s="202"/>
      <c r="B157" s="196"/>
      <c r="C157" s="203"/>
      <c r="D157" s="196"/>
      <c r="E157" s="203"/>
      <c r="F157" s="203"/>
      <c r="G157" s="203"/>
      <c r="H157" s="203"/>
      <c r="I157" s="203"/>
      <c r="J157" s="203"/>
      <c r="K157" s="203"/>
      <c r="L157" s="203"/>
      <c r="M157" s="203"/>
      <c r="N157" s="203"/>
      <c r="O157" s="1198"/>
      <c r="P157" s="1199"/>
    </row>
    <row r="158" spans="1:16">
      <c r="A158" s="202"/>
      <c r="B158" s="196"/>
      <c r="C158" s="203"/>
      <c r="D158" s="196"/>
      <c r="E158" s="203"/>
      <c r="F158" s="203"/>
      <c r="G158" s="203"/>
      <c r="H158" s="203"/>
      <c r="I158" s="203"/>
      <c r="J158" s="203"/>
      <c r="K158" s="203"/>
      <c r="L158" s="203"/>
      <c r="M158" s="203"/>
      <c r="N158" s="203"/>
      <c r="O158" s="1198"/>
      <c r="P158" s="1199"/>
    </row>
    <row r="159" spans="1:16">
      <c r="A159" s="202"/>
      <c r="B159" s="196"/>
      <c r="C159" s="203"/>
      <c r="D159" s="196"/>
      <c r="E159" s="203"/>
      <c r="F159" s="203"/>
      <c r="G159" s="203"/>
      <c r="H159" s="203"/>
      <c r="I159" s="203"/>
      <c r="J159" s="203"/>
      <c r="K159" s="203"/>
      <c r="L159" s="203"/>
      <c r="M159" s="203"/>
      <c r="N159" s="203"/>
      <c r="O159" s="1198"/>
      <c r="P159" s="1199"/>
    </row>
    <row r="160" spans="1:16">
      <c r="A160" s="202"/>
      <c r="B160" s="196"/>
      <c r="C160" s="203"/>
      <c r="D160" s="196"/>
      <c r="E160" s="203"/>
      <c r="F160" s="203"/>
      <c r="G160" s="203"/>
      <c r="H160" s="203"/>
      <c r="I160" s="203"/>
      <c r="J160" s="203"/>
      <c r="K160" s="203"/>
      <c r="L160" s="203"/>
      <c r="M160" s="203"/>
      <c r="N160" s="203"/>
      <c r="O160" s="1198"/>
      <c r="P160" s="1199"/>
    </row>
    <row r="161" spans="1:16">
      <c r="A161" s="202"/>
      <c r="B161" s="196"/>
      <c r="C161" s="203"/>
      <c r="D161" s="196"/>
      <c r="E161" s="203"/>
      <c r="F161" s="203"/>
      <c r="G161" s="203"/>
      <c r="H161" s="203"/>
      <c r="I161" s="203"/>
      <c r="J161" s="203"/>
      <c r="K161" s="203"/>
      <c r="L161" s="203"/>
      <c r="M161" s="203"/>
      <c r="N161" s="203"/>
      <c r="O161" s="1198"/>
      <c r="P161" s="1199"/>
    </row>
    <row r="162" spans="1:16">
      <c r="A162" s="202"/>
      <c r="B162" s="196"/>
      <c r="C162" s="203"/>
      <c r="D162" s="196"/>
      <c r="E162" s="203"/>
      <c r="F162" s="203"/>
      <c r="G162" s="203"/>
      <c r="H162" s="203"/>
      <c r="I162" s="203"/>
      <c r="J162" s="203"/>
      <c r="K162" s="203"/>
      <c r="L162" s="203"/>
      <c r="M162" s="203"/>
      <c r="N162" s="203"/>
      <c r="O162" s="1198"/>
      <c r="P162" s="1199"/>
    </row>
    <row r="163" spans="1:16">
      <c r="A163" s="202"/>
      <c r="B163" s="196"/>
      <c r="C163" s="203"/>
      <c r="D163" s="196"/>
      <c r="E163" s="203"/>
      <c r="F163" s="203"/>
      <c r="G163" s="203"/>
      <c r="H163" s="203"/>
      <c r="I163" s="203"/>
      <c r="J163" s="203"/>
      <c r="K163" s="203"/>
      <c r="L163" s="203"/>
      <c r="M163" s="203"/>
      <c r="N163" s="203"/>
      <c r="O163" s="1198"/>
      <c r="P163" s="1199"/>
    </row>
    <row r="164" spans="1:16">
      <c r="A164" s="202"/>
      <c r="B164" s="196"/>
      <c r="C164" s="203"/>
      <c r="D164" s="196"/>
      <c r="E164" s="203"/>
      <c r="F164" s="203"/>
      <c r="G164" s="203"/>
      <c r="H164" s="203"/>
      <c r="I164" s="203"/>
      <c r="J164" s="203"/>
      <c r="K164" s="203"/>
      <c r="L164" s="203"/>
      <c r="M164" s="203"/>
      <c r="N164" s="203"/>
      <c r="O164" s="1198"/>
      <c r="P164" s="1199"/>
    </row>
    <row r="165" spans="1:16">
      <c r="A165" s="202"/>
      <c r="B165" s="196"/>
      <c r="C165" s="203"/>
      <c r="D165" s="196"/>
      <c r="E165" s="203"/>
      <c r="F165" s="203"/>
      <c r="G165" s="203"/>
      <c r="H165" s="203"/>
      <c r="I165" s="203"/>
      <c r="J165" s="203"/>
      <c r="K165" s="203"/>
      <c r="L165" s="203"/>
      <c r="M165" s="203"/>
      <c r="N165" s="203"/>
      <c r="O165" s="1198"/>
      <c r="P165" s="1199"/>
    </row>
    <row r="166" spans="1:16">
      <c r="A166" s="202"/>
      <c r="B166" s="196"/>
      <c r="C166" s="203"/>
      <c r="D166" s="196"/>
      <c r="E166" s="203"/>
      <c r="F166" s="203"/>
      <c r="G166" s="203"/>
      <c r="H166" s="203"/>
      <c r="I166" s="203"/>
      <c r="J166" s="203"/>
      <c r="K166" s="203"/>
      <c r="L166" s="203"/>
      <c r="M166" s="203"/>
      <c r="N166" s="203"/>
      <c r="O166" s="1198"/>
      <c r="P166" s="1199"/>
    </row>
    <row r="167" spans="1:16">
      <c r="A167" s="202"/>
      <c r="B167" s="196"/>
      <c r="C167" s="203"/>
      <c r="D167" s="196"/>
      <c r="E167" s="203"/>
      <c r="F167" s="203"/>
      <c r="G167" s="203"/>
      <c r="H167" s="203"/>
      <c r="I167" s="203"/>
      <c r="J167" s="203"/>
      <c r="K167" s="203"/>
      <c r="L167" s="203"/>
      <c r="M167" s="203"/>
      <c r="N167" s="203"/>
      <c r="O167" s="1198"/>
      <c r="P167" s="1199"/>
    </row>
    <row r="168" spans="1:16">
      <c r="A168" s="202"/>
      <c r="B168" s="196"/>
      <c r="C168" s="203"/>
      <c r="D168" s="196"/>
      <c r="E168" s="203"/>
      <c r="F168" s="203"/>
      <c r="G168" s="203"/>
      <c r="H168" s="203"/>
      <c r="I168" s="203"/>
      <c r="J168" s="203"/>
      <c r="K168" s="203"/>
      <c r="L168" s="203"/>
      <c r="M168" s="203"/>
      <c r="N168" s="203"/>
      <c r="O168" s="1198"/>
      <c r="P168" s="1199"/>
    </row>
    <row r="169" spans="1:16">
      <c r="A169" s="202"/>
      <c r="B169" s="196"/>
      <c r="C169" s="203"/>
      <c r="D169" s="196"/>
      <c r="E169" s="203"/>
      <c r="F169" s="203"/>
      <c r="G169" s="203"/>
      <c r="H169" s="203"/>
      <c r="I169" s="203"/>
      <c r="J169" s="203"/>
      <c r="K169" s="203"/>
      <c r="L169" s="203"/>
      <c r="M169" s="203"/>
      <c r="N169" s="203"/>
      <c r="O169" s="1198"/>
      <c r="P169" s="1199"/>
    </row>
    <row r="170" spans="1:16">
      <c r="A170" s="202"/>
      <c r="B170" s="196"/>
      <c r="C170" s="203"/>
      <c r="D170" s="196"/>
      <c r="E170" s="203"/>
      <c r="F170" s="203"/>
      <c r="G170" s="203"/>
      <c r="H170" s="203"/>
      <c r="I170" s="203"/>
      <c r="J170" s="203"/>
      <c r="K170" s="203"/>
      <c r="L170" s="203"/>
      <c r="M170" s="203"/>
      <c r="N170" s="203"/>
      <c r="O170" s="1198"/>
      <c r="P170" s="1199"/>
    </row>
    <row r="171" spans="1:16">
      <c r="A171" s="202"/>
      <c r="B171" s="196"/>
      <c r="C171" s="203"/>
      <c r="D171" s="196"/>
      <c r="E171" s="203"/>
      <c r="F171" s="203"/>
      <c r="G171" s="203"/>
      <c r="H171" s="203"/>
      <c r="I171" s="203"/>
      <c r="J171" s="203"/>
      <c r="K171" s="203"/>
      <c r="L171" s="203"/>
      <c r="M171" s="203"/>
      <c r="N171" s="203"/>
      <c r="O171" s="1198"/>
      <c r="P171" s="1199"/>
    </row>
    <row r="172" spans="1:16">
      <c r="A172" s="202"/>
      <c r="B172" s="196"/>
      <c r="C172" s="203"/>
      <c r="D172" s="196"/>
      <c r="E172" s="203"/>
      <c r="F172" s="203"/>
      <c r="G172" s="203"/>
      <c r="H172" s="203"/>
      <c r="I172" s="203"/>
      <c r="J172" s="203"/>
      <c r="K172" s="203"/>
      <c r="L172" s="203"/>
      <c r="M172" s="203"/>
      <c r="N172" s="203"/>
      <c r="O172" s="1198"/>
      <c r="P172" s="1199"/>
    </row>
    <row r="173" spans="1:16">
      <c r="A173" s="202"/>
      <c r="B173" s="196"/>
      <c r="C173" s="203"/>
      <c r="D173" s="196"/>
      <c r="E173" s="203"/>
      <c r="F173" s="203"/>
      <c r="G173" s="203"/>
      <c r="H173" s="203"/>
      <c r="I173" s="203"/>
      <c r="J173" s="203"/>
      <c r="K173" s="203"/>
      <c r="L173" s="203"/>
      <c r="M173" s="203"/>
      <c r="N173" s="203"/>
      <c r="O173" s="1198"/>
      <c r="P173" s="1199"/>
    </row>
    <row r="174" spans="1:16">
      <c r="A174" s="202"/>
      <c r="B174" s="196"/>
      <c r="C174" s="203"/>
      <c r="D174" s="196"/>
      <c r="E174" s="203"/>
      <c r="F174" s="203"/>
      <c r="G174" s="203"/>
      <c r="H174" s="203"/>
      <c r="I174" s="203"/>
      <c r="J174" s="203"/>
      <c r="K174" s="203"/>
      <c r="L174" s="203"/>
      <c r="M174" s="203"/>
      <c r="N174" s="203"/>
      <c r="O174" s="1198"/>
      <c r="P174" s="1199"/>
    </row>
    <row r="175" spans="1:16">
      <c r="A175" s="202"/>
      <c r="B175" s="196"/>
      <c r="C175" s="203"/>
      <c r="D175" s="196"/>
      <c r="E175" s="203"/>
      <c r="F175" s="203"/>
      <c r="G175" s="203"/>
      <c r="H175" s="203"/>
      <c r="I175" s="203"/>
      <c r="J175" s="203"/>
      <c r="K175" s="203"/>
      <c r="L175" s="203"/>
      <c r="M175" s="203"/>
      <c r="N175" s="203"/>
      <c r="O175" s="1198"/>
      <c r="P175" s="1199"/>
    </row>
    <row r="176" spans="1:16">
      <c r="A176" s="202"/>
      <c r="B176" s="196"/>
      <c r="C176" s="203"/>
      <c r="D176" s="196"/>
      <c r="E176" s="203"/>
      <c r="F176" s="203"/>
      <c r="G176" s="203"/>
      <c r="H176" s="203"/>
      <c r="I176" s="203"/>
      <c r="J176" s="203"/>
      <c r="K176" s="203"/>
      <c r="L176" s="203"/>
      <c r="M176" s="203"/>
      <c r="N176" s="203"/>
      <c r="O176" s="1198"/>
      <c r="P176" s="1199"/>
    </row>
    <row r="177" spans="1:16">
      <c r="A177" s="202"/>
      <c r="B177" s="196"/>
      <c r="C177" s="203"/>
      <c r="D177" s="196"/>
      <c r="E177" s="203"/>
      <c r="F177" s="203"/>
      <c r="G177" s="203"/>
      <c r="H177" s="203"/>
      <c r="I177" s="203"/>
      <c r="J177" s="203"/>
      <c r="K177" s="203"/>
      <c r="L177" s="203"/>
      <c r="M177" s="203"/>
      <c r="N177" s="203"/>
      <c r="O177" s="1198"/>
      <c r="P177" s="1199"/>
    </row>
    <row r="178" spans="1:16">
      <c r="A178" s="202"/>
      <c r="B178" s="196"/>
      <c r="C178" s="203"/>
      <c r="D178" s="196"/>
      <c r="E178" s="203"/>
      <c r="F178" s="203"/>
      <c r="G178" s="203"/>
      <c r="H178" s="203"/>
      <c r="I178" s="203"/>
      <c r="J178" s="203"/>
      <c r="K178" s="203"/>
      <c r="L178" s="203"/>
      <c r="M178" s="203"/>
      <c r="N178" s="203"/>
      <c r="O178" s="1198"/>
      <c r="P178" s="1199"/>
    </row>
    <row r="179" spans="1:16">
      <c r="A179" s="205" t="s">
        <v>1142</v>
      </c>
      <c r="B179" s="196"/>
      <c r="C179" s="203"/>
      <c r="D179" s="196"/>
      <c r="E179" s="203"/>
      <c r="F179" s="203"/>
      <c r="G179" s="203"/>
      <c r="H179" s="196" t="s">
        <v>1143</v>
      </c>
      <c r="I179" s="203"/>
      <c r="J179" s="203"/>
      <c r="K179" s="203"/>
      <c r="L179" s="203"/>
      <c r="M179" s="203"/>
      <c r="N179" s="203"/>
      <c r="O179" s="1198"/>
      <c r="P179" s="1199"/>
    </row>
    <row r="180" spans="1:16" ht="15" thickBot="1">
      <c r="A180" s="206"/>
      <c r="B180" s="197"/>
      <c r="C180" s="207"/>
      <c r="D180" s="197"/>
      <c r="E180" s="207"/>
      <c r="F180" s="207"/>
      <c r="G180" s="207"/>
      <c r="H180" s="197"/>
      <c r="I180" s="207"/>
      <c r="J180" s="207"/>
      <c r="K180" s="207"/>
      <c r="L180" s="207"/>
      <c r="M180" s="207"/>
      <c r="N180" s="207"/>
      <c r="O180" s="1200"/>
      <c r="P180" s="1201"/>
    </row>
    <row r="182" spans="1:16" ht="30" customHeight="1">
      <c r="A182" s="140" t="s">
        <v>131</v>
      </c>
      <c r="B182" s="140" t="s">
        <v>129</v>
      </c>
      <c r="C182" s="140" t="s">
        <v>130</v>
      </c>
      <c r="D182" s="140" t="s">
        <v>1144</v>
      </c>
      <c r="E182" s="140" t="s">
        <v>1145</v>
      </c>
      <c r="F182" s="140" t="s">
        <v>1146</v>
      </c>
      <c r="G182" s="140" t="s">
        <v>1147</v>
      </c>
      <c r="H182" s="140" t="s">
        <v>1148</v>
      </c>
    </row>
    <row r="183" spans="1:16">
      <c r="A183" s="117" t="s">
        <v>180</v>
      </c>
      <c r="B183" s="117" t="s">
        <v>1149</v>
      </c>
      <c r="C183" s="117" t="s">
        <v>179</v>
      </c>
      <c r="D183" s="117">
        <f>G142-SUM(D184:D186)</f>
        <v>219.94000000000003</v>
      </c>
      <c r="E183" s="117"/>
      <c r="F183" s="117"/>
      <c r="G183" s="128">
        <f>D183/$D$187</f>
        <v>0.74217550490138184</v>
      </c>
      <c r="H183" s="117">
        <v>199.65</v>
      </c>
    </row>
    <row r="184" spans="1:16" ht="15.6">
      <c r="A184" s="117" t="s">
        <v>180</v>
      </c>
      <c r="B184" s="117" t="s">
        <v>1149</v>
      </c>
      <c r="C184" s="117" t="s">
        <v>1150</v>
      </c>
      <c r="D184" s="117">
        <f>AVERAGE(E184:F184)</f>
        <v>33.22</v>
      </c>
      <c r="E184" s="117">
        <v>5.66</v>
      </c>
      <c r="F184" s="117">
        <v>60.78</v>
      </c>
      <c r="G184" s="128">
        <f>D184/$D$187</f>
        <v>0.11209907371475812</v>
      </c>
      <c r="H184" s="117"/>
      <c r="J184" s="208"/>
    </row>
    <row r="185" spans="1:16">
      <c r="A185" s="117" t="s">
        <v>180</v>
      </c>
      <c r="B185" s="117" t="s">
        <v>1149</v>
      </c>
      <c r="C185" s="117" t="s">
        <v>245</v>
      </c>
      <c r="D185" s="117">
        <f>AVERAGE(E185:F185)</f>
        <v>37.25</v>
      </c>
      <c r="E185" s="117">
        <v>35.770000000000003</v>
      </c>
      <c r="F185" s="117">
        <v>38.729999999999997</v>
      </c>
      <c r="G185" s="128">
        <f>D185/$D$187</f>
        <v>0.12569808837672306</v>
      </c>
      <c r="H185" s="117"/>
    </row>
    <row r="186" spans="1:16">
      <c r="A186" s="117" t="s">
        <v>180</v>
      </c>
      <c r="B186" s="117" t="s">
        <v>1149</v>
      </c>
      <c r="C186" s="117" t="s">
        <v>1151</v>
      </c>
      <c r="D186" s="117">
        <f>AVERAGE(E186:F186)</f>
        <v>5.9350000000000005</v>
      </c>
      <c r="E186" s="117">
        <v>5.66</v>
      </c>
      <c r="F186" s="117">
        <v>6.21</v>
      </c>
      <c r="G186" s="128">
        <f>D186/$D$187</f>
        <v>2.0027333007136952E-2</v>
      </c>
      <c r="H186" s="117">
        <v>1.49</v>
      </c>
    </row>
    <row r="187" spans="1:16">
      <c r="A187" s="117" t="s">
        <v>180</v>
      </c>
      <c r="B187" s="129" t="s">
        <v>1140</v>
      </c>
      <c r="C187" s="126"/>
      <c r="D187" s="129">
        <f>SUM(D183:D186)</f>
        <v>296.34500000000003</v>
      </c>
      <c r="E187" s="126"/>
      <c r="F187" s="126"/>
      <c r="G187" s="182"/>
      <c r="H187" s="117"/>
    </row>
    <row r="188" spans="1:16">
      <c r="A188" s="117" t="s">
        <v>180</v>
      </c>
      <c r="B188" s="126" t="s">
        <v>1151</v>
      </c>
      <c r="C188" s="126" t="s">
        <v>179</v>
      </c>
      <c r="D188" s="126">
        <f>D186-H186</f>
        <v>4.4450000000000003</v>
      </c>
      <c r="E188" s="126"/>
      <c r="F188" s="126"/>
      <c r="G188" s="182">
        <f>D188/$D$190</f>
        <v>0.74894692502106153</v>
      </c>
      <c r="H188" s="117"/>
    </row>
    <row r="189" spans="1:16">
      <c r="A189" s="117" t="s">
        <v>180</v>
      </c>
      <c r="B189" s="117" t="s">
        <v>1151</v>
      </c>
      <c r="C189" s="117" t="s">
        <v>1152</v>
      </c>
      <c r="D189" s="117">
        <f>H186</f>
        <v>1.49</v>
      </c>
      <c r="E189" s="117"/>
      <c r="F189" s="117"/>
      <c r="G189" s="128">
        <f>D189/$D$190</f>
        <v>0.25105307497893847</v>
      </c>
      <c r="H189" s="117"/>
    </row>
    <row r="190" spans="1:16">
      <c r="A190" s="117" t="s">
        <v>180</v>
      </c>
      <c r="B190" s="129" t="s">
        <v>1140</v>
      </c>
      <c r="C190" s="126"/>
      <c r="D190" s="127">
        <f>SUM(D188:D189)</f>
        <v>5.9350000000000005</v>
      </c>
      <c r="E190" s="117"/>
      <c r="F190" s="117"/>
      <c r="G190" s="117"/>
      <c r="H190" s="117"/>
    </row>
    <row r="191" spans="1:16" ht="15" thickBot="1">
      <c r="B191" s="25"/>
      <c r="D191" s="25"/>
    </row>
    <row r="192" spans="1:16">
      <c r="A192" s="200"/>
      <c r="B192" s="195"/>
      <c r="C192" s="201"/>
      <c r="D192" s="195"/>
      <c r="E192" s="201"/>
      <c r="F192" s="201"/>
      <c r="G192" s="201"/>
      <c r="H192" s="201"/>
      <c r="I192" s="201"/>
      <c r="J192" s="201"/>
      <c r="K192" s="201"/>
      <c r="L192" s="201"/>
      <c r="M192" s="201"/>
      <c r="N192" s="201"/>
      <c r="O192" s="1196" t="s">
        <v>1141</v>
      </c>
      <c r="P192" s="1197"/>
    </row>
    <row r="193" spans="1:16">
      <c r="A193" s="202"/>
      <c r="B193" s="196"/>
      <c r="C193" s="203"/>
      <c r="D193" s="196"/>
      <c r="E193" s="203"/>
      <c r="F193" s="203"/>
      <c r="G193" s="203"/>
      <c r="H193" s="203"/>
      <c r="I193" s="203"/>
      <c r="J193" s="203"/>
      <c r="K193" s="203"/>
      <c r="L193" s="203"/>
      <c r="M193" s="203"/>
      <c r="N193" s="203"/>
      <c r="O193" s="1198"/>
      <c r="P193" s="1199"/>
    </row>
    <row r="194" spans="1:16">
      <c r="A194" s="202"/>
      <c r="B194" s="196"/>
      <c r="C194" s="203"/>
      <c r="D194" s="196"/>
      <c r="E194" s="203"/>
      <c r="F194" s="203"/>
      <c r="G194" s="203"/>
      <c r="H194" s="203"/>
      <c r="I194" s="203"/>
      <c r="J194" s="203"/>
      <c r="K194" s="203"/>
      <c r="L194" s="203"/>
      <c r="M194" s="203"/>
      <c r="N194" s="203"/>
      <c r="O194" s="1198"/>
      <c r="P194" s="1199"/>
    </row>
    <row r="195" spans="1:16">
      <c r="A195" s="202"/>
      <c r="B195" s="196"/>
      <c r="C195" s="203"/>
      <c r="D195" s="196"/>
      <c r="E195" s="203"/>
      <c r="F195" s="203"/>
      <c r="G195" s="203"/>
      <c r="H195" s="203"/>
      <c r="I195" s="203"/>
      <c r="J195" s="203"/>
      <c r="K195" s="203"/>
      <c r="L195" s="203"/>
      <c r="M195" s="203"/>
      <c r="N195" s="203"/>
      <c r="O195" s="1198"/>
      <c r="P195" s="1199"/>
    </row>
    <row r="196" spans="1:16">
      <c r="A196" s="202"/>
      <c r="B196" s="196"/>
      <c r="C196" s="203"/>
      <c r="D196" s="196"/>
      <c r="E196" s="203"/>
      <c r="F196" s="203"/>
      <c r="G196" s="203"/>
      <c r="H196" s="203"/>
      <c r="I196" s="203"/>
      <c r="J196" s="203"/>
      <c r="K196" s="203"/>
      <c r="L196" s="203"/>
      <c r="M196" s="203"/>
      <c r="N196" s="203"/>
      <c r="O196" s="1198"/>
      <c r="P196" s="1199"/>
    </row>
    <row r="197" spans="1:16">
      <c r="A197" s="202"/>
      <c r="B197" s="196"/>
      <c r="C197" s="203"/>
      <c r="D197" s="196"/>
      <c r="E197" s="203"/>
      <c r="F197" s="203"/>
      <c r="G197" s="203"/>
      <c r="H197" s="203"/>
      <c r="I197" s="203"/>
      <c r="J197" s="203"/>
      <c r="K197" s="203"/>
      <c r="L197" s="203"/>
      <c r="M197" s="203"/>
      <c r="N197" s="203"/>
      <c r="O197" s="1198"/>
      <c r="P197" s="1199"/>
    </row>
    <row r="198" spans="1:16">
      <c r="A198" s="202"/>
      <c r="B198" s="196"/>
      <c r="C198" s="203"/>
      <c r="D198" s="196"/>
      <c r="E198" s="203"/>
      <c r="F198" s="203"/>
      <c r="G198" s="203"/>
      <c r="H198" s="203"/>
      <c r="I198" s="203"/>
      <c r="J198" s="203"/>
      <c r="K198" s="203"/>
      <c r="L198" s="203"/>
      <c r="M198" s="203"/>
      <c r="N198" s="203"/>
      <c r="O198" s="1198"/>
      <c r="P198" s="1199"/>
    </row>
    <row r="199" spans="1:16">
      <c r="A199" s="202"/>
      <c r="B199" s="196"/>
      <c r="C199" s="203"/>
      <c r="D199" s="196"/>
      <c r="E199" s="203"/>
      <c r="F199" s="203"/>
      <c r="G199" s="203"/>
      <c r="H199" s="203"/>
      <c r="I199" s="203"/>
      <c r="J199" s="203"/>
      <c r="K199" s="203"/>
      <c r="L199" s="203"/>
      <c r="M199" s="203"/>
      <c r="N199" s="203"/>
      <c r="O199" s="1198"/>
      <c r="P199" s="1199"/>
    </row>
    <row r="200" spans="1:16">
      <c r="A200" s="202"/>
      <c r="B200" s="196"/>
      <c r="C200" s="203"/>
      <c r="D200" s="196"/>
      <c r="E200" s="203"/>
      <c r="F200" s="203"/>
      <c r="G200" s="203"/>
      <c r="H200" s="203"/>
      <c r="I200" s="203"/>
      <c r="J200" s="203"/>
      <c r="K200" s="203"/>
      <c r="L200" s="203"/>
      <c r="M200" s="203"/>
      <c r="N200" s="203"/>
      <c r="O200" s="1198"/>
      <c r="P200" s="1199"/>
    </row>
    <row r="201" spans="1:16">
      <c r="A201" s="202"/>
      <c r="B201" s="196"/>
      <c r="C201" s="203"/>
      <c r="D201" s="196"/>
      <c r="E201" s="203"/>
      <c r="F201" s="203"/>
      <c r="G201" s="203"/>
      <c r="H201" s="203"/>
      <c r="I201" s="203"/>
      <c r="J201" s="203"/>
      <c r="K201" s="203"/>
      <c r="L201" s="203"/>
      <c r="M201" s="203"/>
      <c r="N201" s="203"/>
      <c r="O201" s="1198"/>
      <c r="P201" s="1199"/>
    </row>
    <row r="202" spans="1:16">
      <c r="A202" s="202"/>
      <c r="B202" s="196"/>
      <c r="C202" s="203"/>
      <c r="D202" s="196"/>
      <c r="E202" s="203"/>
      <c r="F202" s="203"/>
      <c r="G202" s="203"/>
      <c r="H202" s="203"/>
      <c r="I202" s="203"/>
      <c r="J202" s="203"/>
      <c r="K202" s="203"/>
      <c r="L202" s="203"/>
      <c r="M202" s="203"/>
      <c r="N202" s="203"/>
      <c r="O202" s="1198"/>
      <c r="P202" s="1199"/>
    </row>
    <row r="203" spans="1:16">
      <c r="A203" s="202"/>
      <c r="B203" s="196"/>
      <c r="C203" s="203"/>
      <c r="D203" s="196"/>
      <c r="E203" s="203"/>
      <c r="F203" s="203"/>
      <c r="G203" s="203"/>
      <c r="H203" s="203"/>
      <c r="I203" s="203"/>
      <c r="J203" s="203"/>
      <c r="K203" s="203"/>
      <c r="L203" s="203"/>
      <c r="M203" s="203"/>
      <c r="N203" s="203"/>
      <c r="O203" s="1198"/>
      <c r="P203" s="1199"/>
    </row>
    <row r="204" spans="1:16">
      <c r="A204" s="202"/>
      <c r="B204" s="196"/>
      <c r="C204" s="203"/>
      <c r="D204" s="196"/>
      <c r="E204" s="203"/>
      <c r="F204" s="203"/>
      <c r="G204" s="203"/>
      <c r="H204" s="203"/>
      <c r="I204" s="203"/>
      <c r="J204" s="203"/>
      <c r="K204" s="203"/>
      <c r="L204" s="203"/>
      <c r="M204" s="203"/>
      <c r="N204" s="203"/>
      <c r="O204" s="1198"/>
      <c r="P204" s="1199"/>
    </row>
    <row r="205" spans="1:16">
      <c r="A205" s="202"/>
      <c r="B205" s="196"/>
      <c r="C205" s="203"/>
      <c r="D205" s="196"/>
      <c r="E205" s="203"/>
      <c r="F205" s="203"/>
      <c r="G205" s="203"/>
      <c r="H205" s="203"/>
      <c r="I205" s="203"/>
      <c r="J205" s="203"/>
      <c r="K205" s="203"/>
      <c r="L205" s="203"/>
      <c r="M205" s="203"/>
      <c r="N205" s="203"/>
      <c r="O205" s="1198"/>
      <c r="P205" s="1199"/>
    </row>
    <row r="206" spans="1:16">
      <c r="A206" s="202"/>
      <c r="B206" s="196"/>
      <c r="C206" s="203"/>
      <c r="D206" s="196"/>
      <c r="E206" s="203"/>
      <c r="F206" s="203"/>
      <c r="G206" s="203"/>
      <c r="H206" s="203"/>
      <c r="I206" s="203"/>
      <c r="J206" s="203"/>
      <c r="K206" s="203"/>
      <c r="L206" s="203"/>
      <c r="M206" s="203"/>
      <c r="N206" s="203"/>
      <c r="O206" s="1198"/>
      <c r="P206" s="1199"/>
    </row>
    <row r="207" spans="1:16">
      <c r="A207" s="202"/>
      <c r="B207" s="196"/>
      <c r="C207" s="203"/>
      <c r="D207" s="196"/>
      <c r="E207" s="203"/>
      <c r="F207" s="203"/>
      <c r="G207" s="203"/>
      <c r="H207" s="203"/>
      <c r="I207" s="203"/>
      <c r="J207" s="203"/>
      <c r="K207" s="203"/>
      <c r="L207" s="203"/>
      <c r="M207" s="203"/>
      <c r="N207" s="203"/>
      <c r="O207" s="1198"/>
      <c r="P207" s="1199"/>
    </row>
    <row r="208" spans="1:16">
      <c r="A208" s="202"/>
      <c r="B208" s="196"/>
      <c r="C208" s="203"/>
      <c r="D208" s="196"/>
      <c r="E208" s="203"/>
      <c r="F208" s="203"/>
      <c r="G208" s="203"/>
      <c r="H208" s="203"/>
      <c r="I208" s="203"/>
      <c r="J208" s="203"/>
      <c r="K208" s="203"/>
      <c r="L208" s="203"/>
      <c r="M208" s="203"/>
      <c r="N208" s="203"/>
      <c r="O208" s="1198"/>
      <c r="P208" s="1199"/>
    </row>
    <row r="209" spans="1:16">
      <c r="A209" s="202"/>
      <c r="B209" s="196"/>
      <c r="C209" s="203"/>
      <c r="D209" s="196"/>
      <c r="E209" s="203"/>
      <c r="F209" s="203"/>
      <c r="G209" s="203"/>
      <c r="H209" s="203"/>
      <c r="I209" s="203"/>
      <c r="J209" s="203"/>
      <c r="K209" s="203"/>
      <c r="L209" s="203"/>
      <c r="M209" s="203"/>
      <c r="N209" s="203"/>
      <c r="O209" s="1198"/>
      <c r="P209" s="1199"/>
    </row>
    <row r="210" spans="1:16">
      <c r="A210" s="202"/>
      <c r="B210" s="196"/>
      <c r="C210" s="203"/>
      <c r="D210" s="196"/>
      <c r="E210" s="203"/>
      <c r="F210" s="203"/>
      <c r="G210" s="203"/>
      <c r="H210" s="203"/>
      <c r="I210" s="203"/>
      <c r="J210" s="203"/>
      <c r="K210" s="203"/>
      <c r="L210" s="203"/>
      <c r="M210" s="203"/>
      <c r="N210" s="203"/>
      <c r="O210" s="1198"/>
      <c r="P210" s="1199"/>
    </row>
    <row r="211" spans="1:16" ht="15.6" customHeight="1">
      <c r="A211" s="202"/>
      <c r="B211" s="196"/>
      <c r="C211" s="203"/>
      <c r="D211" s="196"/>
      <c r="E211" s="203"/>
      <c r="F211" s="203"/>
      <c r="G211" s="203"/>
      <c r="H211" s="203"/>
      <c r="I211" s="203"/>
      <c r="J211" s="203"/>
      <c r="K211" s="203"/>
      <c r="L211" s="203"/>
      <c r="M211" s="203"/>
      <c r="N211" s="203"/>
      <c r="O211" s="1198"/>
      <c r="P211" s="1199"/>
    </row>
    <row r="212" spans="1:16">
      <c r="A212" s="202"/>
      <c r="B212" s="196"/>
      <c r="C212" s="203"/>
      <c r="D212" s="196"/>
      <c r="E212" s="203"/>
      <c r="F212" s="203"/>
      <c r="G212" s="203"/>
      <c r="H212" s="203"/>
      <c r="I212" s="203"/>
      <c r="J212" s="203"/>
      <c r="K212" s="203"/>
      <c r="L212" s="203"/>
      <c r="M212" s="203"/>
      <c r="N212" s="203"/>
      <c r="O212" s="1198"/>
      <c r="P212" s="1199"/>
    </row>
    <row r="213" spans="1:16">
      <c r="A213" s="202"/>
      <c r="B213" s="196"/>
      <c r="C213" s="203"/>
      <c r="D213" s="196"/>
      <c r="E213" s="203"/>
      <c r="F213" s="203"/>
      <c r="G213" s="203"/>
      <c r="H213" s="203"/>
      <c r="I213" s="203"/>
      <c r="J213" s="203"/>
      <c r="K213" s="203"/>
      <c r="L213" s="203"/>
      <c r="M213" s="203"/>
      <c r="N213" s="203"/>
      <c r="O213" s="1198"/>
      <c r="P213" s="1199"/>
    </row>
    <row r="214" spans="1:16">
      <c r="A214" s="202"/>
      <c r="B214" s="196"/>
      <c r="C214" s="203"/>
      <c r="D214" s="196"/>
      <c r="E214" s="203"/>
      <c r="F214" s="203"/>
      <c r="G214" s="203"/>
      <c r="H214" s="203"/>
      <c r="I214" s="203"/>
      <c r="J214" s="203"/>
      <c r="K214" s="203"/>
      <c r="L214" s="203"/>
      <c r="M214" s="203"/>
      <c r="N214" s="203"/>
      <c r="O214" s="1198"/>
      <c r="P214" s="1199"/>
    </row>
    <row r="215" spans="1:16">
      <c r="A215" s="202"/>
      <c r="B215" s="196"/>
      <c r="C215" s="203"/>
      <c r="D215" s="196"/>
      <c r="E215" s="203"/>
      <c r="F215" s="203"/>
      <c r="G215" s="203"/>
      <c r="H215" s="203"/>
      <c r="I215" s="203"/>
      <c r="J215" s="203"/>
      <c r="K215" s="203"/>
      <c r="L215" s="203"/>
      <c r="M215" s="203"/>
      <c r="N215" s="203"/>
      <c r="O215" s="1198"/>
      <c r="P215" s="1199"/>
    </row>
    <row r="216" spans="1:16">
      <c r="A216" s="202"/>
      <c r="B216" s="196"/>
      <c r="C216" s="203"/>
      <c r="D216" s="196"/>
      <c r="E216" s="203"/>
      <c r="F216" s="203"/>
      <c r="G216" s="203"/>
      <c r="H216" s="203"/>
      <c r="I216" s="203"/>
      <c r="J216" s="203"/>
      <c r="K216" s="203"/>
      <c r="L216" s="203"/>
      <c r="M216" s="203"/>
      <c r="N216" s="203"/>
      <c r="O216" s="1198"/>
      <c r="P216" s="1199"/>
    </row>
    <row r="217" spans="1:16">
      <c r="A217" s="202"/>
      <c r="B217" s="196"/>
      <c r="C217" s="203"/>
      <c r="D217" s="196"/>
      <c r="E217" s="203"/>
      <c r="F217" s="203"/>
      <c r="G217" s="203"/>
      <c r="H217" s="203"/>
      <c r="I217" s="203"/>
      <c r="J217" s="203"/>
      <c r="K217" s="203"/>
      <c r="L217" s="203"/>
      <c r="M217" s="203"/>
      <c r="N217" s="203"/>
      <c r="O217" s="1198"/>
      <c r="P217" s="1199"/>
    </row>
    <row r="218" spans="1:16">
      <c r="A218" s="202"/>
      <c r="B218" s="196"/>
      <c r="C218" s="203"/>
      <c r="D218" s="196"/>
      <c r="E218" s="203"/>
      <c r="F218" s="203"/>
      <c r="G218" s="203"/>
      <c r="H218" s="203"/>
      <c r="I218" s="203"/>
      <c r="J218" s="203"/>
      <c r="K218" s="203"/>
      <c r="L218" s="203"/>
      <c r="M218" s="203"/>
      <c r="N218" s="203"/>
      <c r="O218" s="1198"/>
      <c r="P218" s="1199"/>
    </row>
    <row r="219" spans="1:16">
      <c r="A219" s="202"/>
      <c r="B219" s="196"/>
      <c r="C219" s="203"/>
      <c r="D219" s="196"/>
      <c r="E219" s="203"/>
      <c r="F219" s="203"/>
      <c r="G219" s="203"/>
      <c r="H219" s="203"/>
      <c r="I219" s="203"/>
      <c r="J219" s="203"/>
      <c r="K219" s="203"/>
      <c r="L219" s="203"/>
      <c r="M219" s="203"/>
      <c r="N219" s="203"/>
      <c r="O219" s="1198"/>
      <c r="P219" s="1199"/>
    </row>
    <row r="220" spans="1:16">
      <c r="A220" s="202"/>
      <c r="B220" s="196"/>
      <c r="C220" s="203"/>
      <c r="D220" s="196"/>
      <c r="E220" s="203"/>
      <c r="F220" s="203"/>
      <c r="G220" s="203"/>
      <c r="H220" s="203"/>
      <c r="I220" s="203"/>
      <c r="J220" s="203"/>
      <c r="K220" s="203"/>
      <c r="L220" s="203"/>
      <c r="M220" s="203"/>
      <c r="N220" s="203"/>
      <c r="O220" s="1198"/>
      <c r="P220" s="1199"/>
    </row>
    <row r="221" spans="1:16">
      <c r="A221" s="202"/>
      <c r="B221" s="196"/>
      <c r="C221" s="203"/>
      <c r="D221" s="196"/>
      <c r="E221" s="203"/>
      <c r="F221" s="203"/>
      <c r="G221" s="203"/>
      <c r="H221" s="203"/>
      <c r="I221" s="203"/>
      <c r="J221" s="203"/>
      <c r="K221" s="203"/>
      <c r="L221" s="203"/>
      <c r="M221" s="203"/>
      <c r="N221" s="203"/>
      <c r="O221" s="1198"/>
      <c r="P221" s="1199"/>
    </row>
    <row r="222" spans="1:16">
      <c r="A222" s="202"/>
      <c r="B222" s="196"/>
      <c r="C222" s="203"/>
      <c r="D222" s="196"/>
      <c r="E222" s="203"/>
      <c r="F222" s="203"/>
      <c r="G222" s="203"/>
      <c r="H222" s="203"/>
      <c r="I222" s="203"/>
      <c r="J222" s="203"/>
      <c r="K222" s="203"/>
      <c r="L222" s="203"/>
      <c r="M222" s="203"/>
      <c r="N222" s="203"/>
      <c r="O222" s="1198"/>
      <c r="P222" s="1199"/>
    </row>
    <row r="223" spans="1:16">
      <c r="A223" s="202"/>
      <c r="B223" s="196"/>
      <c r="C223" s="203"/>
      <c r="D223" s="196"/>
      <c r="E223" s="203"/>
      <c r="F223" s="203"/>
      <c r="G223" s="203"/>
      <c r="H223" s="203"/>
      <c r="I223" s="203"/>
      <c r="J223" s="203"/>
      <c r="K223" s="203"/>
      <c r="L223" s="203"/>
      <c r="M223" s="203"/>
      <c r="N223" s="203"/>
      <c r="O223" s="1198"/>
      <c r="P223" s="1199"/>
    </row>
    <row r="224" spans="1:16">
      <c r="A224" s="202"/>
      <c r="B224" s="196"/>
      <c r="C224" s="203"/>
      <c r="D224" s="196"/>
      <c r="E224" s="203"/>
      <c r="F224" s="203"/>
      <c r="G224" s="203"/>
      <c r="H224" s="203"/>
      <c r="I224" s="203"/>
      <c r="J224" s="203"/>
      <c r="K224" s="203"/>
      <c r="L224" s="203"/>
      <c r="M224" s="203"/>
      <c r="N224" s="203"/>
      <c r="O224" s="1198"/>
      <c r="P224" s="1199"/>
    </row>
    <row r="225" spans="1:16">
      <c r="A225" s="202"/>
      <c r="B225" s="196"/>
      <c r="C225" s="203"/>
      <c r="D225" s="196"/>
      <c r="E225" s="203"/>
      <c r="F225" s="203"/>
      <c r="G225" s="203"/>
      <c r="H225" s="203"/>
      <c r="I225" s="203"/>
      <c r="J225" s="203"/>
      <c r="K225" s="203"/>
      <c r="L225" s="203"/>
      <c r="M225" s="203"/>
      <c r="N225" s="203"/>
      <c r="O225" s="1198"/>
      <c r="P225" s="1199"/>
    </row>
    <row r="226" spans="1:16">
      <c r="A226" s="205" t="s">
        <v>1142</v>
      </c>
      <c r="B226" s="196"/>
      <c r="C226" s="203"/>
      <c r="D226" s="196"/>
      <c r="E226" s="203"/>
      <c r="F226" s="203"/>
      <c r="G226" s="203"/>
      <c r="H226" s="196" t="s">
        <v>1143</v>
      </c>
      <c r="I226" s="203"/>
      <c r="J226" s="203"/>
      <c r="K226" s="203"/>
      <c r="L226" s="203"/>
      <c r="M226" s="203"/>
      <c r="N226" s="203"/>
      <c r="O226" s="1198"/>
      <c r="P226" s="1199"/>
    </row>
    <row r="227" spans="1:16" ht="15" thickBot="1">
      <c r="A227" s="209"/>
      <c r="B227" s="198"/>
      <c r="C227" s="210"/>
      <c r="D227" s="198"/>
      <c r="E227" s="210"/>
      <c r="F227" s="210"/>
      <c r="G227" s="210"/>
      <c r="H227" s="210"/>
      <c r="I227" s="210"/>
      <c r="J227" s="210"/>
      <c r="K227" s="210"/>
      <c r="L227" s="210"/>
      <c r="M227" s="210"/>
      <c r="N227" s="210"/>
      <c r="O227" s="1200"/>
      <c r="P227" s="1201"/>
    </row>
    <row r="228" spans="1:16" ht="15" thickBot="1">
      <c r="B228" s="25"/>
      <c r="D228" s="25"/>
    </row>
    <row r="229" spans="1:16">
      <c r="A229" s="200"/>
      <c r="B229" s="195"/>
      <c r="C229" s="201"/>
      <c r="D229" s="195"/>
      <c r="E229" s="201"/>
      <c r="F229" s="201"/>
      <c r="G229" s="201"/>
      <c r="H229" s="201"/>
      <c r="I229" s="201"/>
      <c r="J229" s="201"/>
      <c r="K229" s="201"/>
      <c r="L229" s="201"/>
      <c r="M229" s="201"/>
      <c r="N229" s="201"/>
      <c r="O229" s="1196" t="s">
        <v>1153</v>
      </c>
      <c r="P229" s="1197"/>
    </row>
    <row r="230" spans="1:16">
      <c r="A230" s="202"/>
      <c r="B230" s="196"/>
      <c r="C230" s="203"/>
      <c r="D230" s="196"/>
      <c r="E230" s="203"/>
      <c r="F230" s="203"/>
      <c r="G230" s="203"/>
      <c r="H230" s="203"/>
      <c r="I230" s="203"/>
      <c r="J230" s="203"/>
      <c r="K230" s="203"/>
      <c r="L230" s="203"/>
      <c r="M230" s="203"/>
      <c r="N230" s="203"/>
      <c r="O230" s="1198"/>
      <c r="P230" s="1199"/>
    </row>
    <row r="231" spans="1:16">
      <c r="A231" s="202"/>
      <c r="B231" s="196"/>
      <c r="C231" s="203"/>
      <c r="D231" s="196"/>
      <c r="E231" s="203"/>
      <c r="F231" s="203"/>
      <c r="G231" s="203"/>
      <c r="H231" s="203"/>
      <c r="I231" s="203"/>
      <c r="J231" s="203"/>
      <c r="K231" s="203"/>
      <c r="L231" s="203"/>
      <c r="M231" s="203"/>
      <c r="N231" s="203"/>
      <c r="O231" s="1198"/>
      <c r="P231" s="1199"/>
    </row>
    <row r="232" spans="1:16">
      <c r="A232" s="202"/>
      <c r="B232" s="196"/>
      <c r="C232" s="203"/>
      <c r="D232" s="196"/>
      <c r="E232" s="203"/>
      <c r="F232" s="203"/>
      <c r="G232" s="203"/>
      <c r="H232" s="203"/>
      <c r="I232" s="203"/>
      <c r="J232" s="203"/>
      <c r="K232" s="203"/>
      <c r="L232" s="203"/>
      <c r="M232" s="203"/>
      <c r="N232" s="203"/>
      <c r="O232" s="1198"/>
      <c r="P232" s="1199"/>
    </row>
    <row r="233" spans="1:16">
      <c r="A233" s="202"/>
      <c r="B233" s="196"/>
      <c r="C233" s="203"/>
      <c r="D233" s="196"/>
      <c r="E233" s="203"/>
      <c r="F233" s="203"/>
      <c r="G233" s="203"/>
      <c r="H233" s="203"/>
      <c r="I233" s="203"/>
      <c r="J233" s="203"/>
      <c r="K233" s="203"/>
      <c r="L233" s="203"/>
      <c r="M233" s="203"/>
      <c r="N233" s="203"/>
      <c r="O233" s="1198"/>
      <c r="P233" s="1199"/>
    </row>
    <row r="234" spans="1:16">
      <c r="A234" s="202"/>
      <c r="B234" s="196"/>
      <c r="C234" s="203"/>
      <c r="D234" s="196"/>
      <c r="E234" s="203"/>
      <c r="F234" s="203"/>
      <c r="G234" s="203"/>
      <c r="H234" s="203"/>
      <c r="I234" s="203"/>
      <c r="J234" s="203"/>
      <c r="K234" s="203"/>
      <c r="L234" s="203"/>
      <c r="M234" s="203"/>
      <c r="N234" s="203"/>
      <c r="O234" s="1198"/>
      <c r="P234" s="1199"/>
    </row>
    <row r="235" spans="1:16">
      <c r="A235" s="202"/>
      <c r="B235" s="196"/>
      <c r="C235" s="203"/>
      <c r="D235" s="196"/>
      <c r="E235" s="203"/>
      <c r="F235" s="203"/>
      <c r="G235" s="203"/>
      <c r="H235" s="203"/>
      <c r="I235" s="203"/>
      <c r="J235" s="203"/>
      <c r="K235" s="203"/>
      <c r="L235" s="203"/>
      <c r="M235" s="203"/>
      <c r="N235" s="203"/>
      <c r="O235" s="1198"/>
      <c r="P235" s="1199"/>
    </row>
    <row r="236" spans="1:16">
      <c r="A236" s="202"/>
      <c r="B236" s="196"/>
      <c r="C236" s="203"/>
      <c r="D236" s="196"/>
      <c r="E236" s="203"/>
      <c r="F236" s="203"/>
      <c r="G236" s="203"/>
      <c r="H236" s="203"/>
      <c r="I236" s="203"/>
      <c r="J236" s="203"/>
      <c r="K236" s="203"/>
      <c r="L236" s="203"/>
      <c r="M236" s="203"/>
      <c r="N236" s="203"/>
      <c r="O236" s="1198"/>
      <c r="P236" s="1199"/>
    </row>
    <row r="237" spans="1:16">
      <c r="A237" s="202"/>
      <c r="B237" s="196"/>
      <c r="C237" s="203"/>
      <c r="D237" s="196"/>
      <c r="E237" s="203"/>
      <c r="F237" s="203"/>
      <c r="G237" s="203"/>
      <c r="H237" s="203"/>
      <c r="I237" s="203"/>
      <c r="J237" s="203"/>
      <c r="K237" s="203"/>
      <c r="L237" s="203"/>
      <c r="M237" s="203"/>
      <c r="N237" s="203"/>
      <c r="O237" s="1198"/>
      <c r="P237" s="1199"/>
    </row>
    <row r="238" spans="1:16">
      <c r="A238" s="202"/>
      <c r="B238" s="196"/>
      <c r="C238" s="203"/>
      <c r="D238" s="196"/>
      <c r="E238" s="203"/>
      <c r="F238" s="203"/>
      <c r="G238" s="203"/>
      <c r="H238" s="203"/>
      <c r="I238" s="203"/>
      <c r="J238" s="203"/>
      <c r="K238" s="203"/>
      <c r="L238" s="203"/>
      <c r="M238" s="203"/>
      <c r="N238" s="203"/>
      <c r="O238" s="1198"/>
      <c r="P238" s="1199"/>
    </row>
    <row r="239" spans="1:16">
      <c r="A239" s="202"/>
      <c r="B239" s="196"/>
      <c r="C239" s="203"/>
      <c r="D239" s="196"/>
      <c r="E239" s="203"/>
      <c r="F239" s="203"/>
      <c r="G239" s="203"/>
      <c r="H239" s="203"/>
      <c r="I239" s="203"/>
      <c r="J239" s="203"/>
      <c r="K239" s="203"/>
      <c r="L239" s="203"/>
      <c r="M239" s="203"/>
      <c r="N239" s="203"/>
      <c r="O239" s="1198"/>
      <c r="P239" s="1199"/>
    </row>
    <row r="240" spans="1:16">
      <c r="A240" s="202"/>
      <c r="B240" s="196"/>
      <c r="C240" s="203"/>
      <c r="D240" s="196"/>
      <c r="E240" s="203"/>
      <c r="F240" s="203"/>
      <c r="G240" s="203"/>
      <c r="H240" s="203"/>
      <c r="I240" s="203"/>
      <c r="J240" s="203"/>
      <c r="K240" s="203"/>
      <c r="L240" s="203"/>
      <c r="M240" s="203"/>
      <c r="N240" s="203"/>
      <c r="O240" s="1198"/>
      <c r="P240" s="1199"/>
    </row>
    <row r="241" spans="1:16">
      <c r="A241" s="202"/>
      <c r="B241" s="196"/>
      <c r="C241" s="203"/>
      <c r="D241" s="196"/>
      <c r="E241" s="203"/>
      <c r="F241" s="203"/>
      <c r="G241" s="203"/>
      <c r="H241" s="203"/>
      <c r="I241" s="203"/>
      <c r="J241" s="203"/>
      <c r="K241" s="203"/>
      <c r="L241" s="203"/>
      <c r="M241" s="203"/>
      <c r="N241" s="203"/>
      <c r="O241" s="1198"/>
      <c r="P241" s="1199"/>
    </row>
    <row r="242" spans="1:16">
      <c r="A242" s="202"/>
      <c r="B242" s="196"/>
      <c r="C242" s="203"/>
      <c r="D242" s="196"/>
      <c r="E242" s="203"/>
      <c r="F242" s="203"/>
      <c r="G242" s="203"/>
      <c r="H242" s="203"/>
      <c r="I242" s="203"/>
      <c r="J242" s="203"/>
      <c r="K242" s="203"/>
      <c r="L242" s="203"/>
      <c r="M242" s="203"/>
      <c r="N242" s="203"/>
      <c r="O242" s="1198"/>
      <c r="P242" s="1199"/>
    </row>
    <row r="243" spans="1:16">
      <c r="A243" s="202"/>
      <c r="B243" s="196"/>
      <c r="C243" s="203"/>
      <c r="D243" s="196"/>
      <c r="E243" s="203"/>
      <c r="F243" s="203"/>
      <c r="G243" s="203"/>
      <c r="H243" s="203"/>
      <c r="I243" s="203"/>
      <c r="J243" s="203"/>
      <c r="K243" s="203"/>
      <c r="L243" s="203"/>
      <c r="M243" s="203"/>
      <c r="N243" s="203"/>
      <c r="O243" s="1198"/>
      <c r="P243" s="1199"/>
    </row>
    <row r="244" spans="1:16">
      <c r="A244" s="202"/>
      <c r="B244" s="196"/>
      <c r="C244" s="203"/>
      <c r="D244" s="196"/>
      <c r="E244" s="203"/>
      <c r="F244" s="203"/>
      <c r="G244" s="203"/>
      <c r="H244" s="203"/>
      <c r="I244" s="203"/>
      <c r="J244" s="203"/>
      <c r="K244" s="203"/>
      <c r="L244" s="203"/>
      <c r="M244" s="203"/>
      <c r="N244" s="203"/>
      <c r="O244" s="1198"/>
      <c r="P244" s="1199"/>
    </row>
    <row r="245" spans="1:16">
      <c r="A245" s="202"/>
      <c r="B245" s="196"/>
      <c r="C245" s="203"/>
      <c r="D245" s="196"/>
      <c r="E245" s="203"/>
      <c r="F245" s="203"/>
      <c r="G245" s="203"/>
      <c r="H245" s="203"/>
      <c r="I245" s="203"/>
      <c r="J245" s="203"/>
      <c r="K245" s="203"/>
      <c r="L245" s="203"/>
      <c r="M245" s="203"/>
      <c r="N245" s="203"/>
      <c r="O245" s="1198"/>
      <c r="P245" s="1199"/>
    </row>
    <row r="246" spans="1:16">
      <c r="A246" s="202"/>
      <c r="B246" s="196"/>
      <c r="C246" s="203"/>
      <c r="D246" s="196"/>
      <c r="E246" s="203"/>
      <c r="F246" s="203"/>
      <c r="G246" s="203"/>
      <c r="H246" s="203"/>
      <c r="I246" s="203"/>
      <c r="J246" s="203"/>
      <c r="K246" s="203"/>
      <c r="L246" s="203"/>
      <c r="M246" s="203"/>
      <c r="N246" s="203"/>
      <c r="O246" s="1198"/>
      <c r="P246" s="1199"/>
    </row>
    <row r="247" spans="1:16">
      <c r="A247" s="202"/>
      <c r="B247" s="196"/>
      <c r="C247" s="203"/>
      <c r="D247" s="196"/>
      <c r="E247" s="203"/>
      <c r="F247" s="203"/>
      <c r="G247" s="203"/>
      <c r="H247" s="203"/>
      <c r="I247" s="203"/>
      <c r="J247" s="203"/>
      <c r="K247" s="203"/>
      <c r="L247" s="203"/>
      <c r="M247" s="203"/>
      <c r="N247" s="203"/>
      <c r="O247" s="1198"/>
      <c r="P247" s="1199"/>
    </row>
    <row r="248" spans="1:16">
      <c r="A248" s="202"/>
      <c r="B248" s="196"/>
      <c r="C248" s="203"/>
      <c r="D248" s="196"/>
      <c r="E248" s="203"/>
      <c r="F248" s="203"/>
      <c r="G248" s="203"/>
      <c r="H248" s="203"/>
      <c r="I248" s="203"/>
      <c r="J248" s="203"/>
      <c r="K248" s="203"/>
      <c r="L248" s="203"/>
      <c r="M248" s="203"/>
      <c r="N248" s="203"/>
      <c r="O248" s="1198"/>
      <c r="P248" s="1199"/>
    </row>
    <row r="249" spans="1:16">
      <c r="A249" s="202"/>
      <c r="B249" s="196"/>
      <c r="C249" s="203"/>
      <c r="D249" s="196"/>
      <c r="E249" s="203"/>
      <c r="F249" s="203"/>
      <c r="G249" s="203"/>
      <c r="H249" s="203"/>
      <c r="I249" s="203"/>
      <c r="J249" s="203"/>
      <c r="K249" s="203"/>
      <c r="L249" s="203"/>
      <c r="M249" s="203"/>
      <c r="N249" s="203"/>
      <c r="O249" s="1198"/>
      <c r="P249" s="1199"/>
    </row>
    <row r="250" spans="1:16">
      <c r="A250" s="202"/>
      <c r="B250" s="196"/>
      <c r="C250" s="203"/>
      <c r="D250" s="196"/>
      <c r="E250" s="203"/>
      <c r="F250" s="203"/>
      <c r="G250" s="203"/>
      <c r="H250" s="203"/>
      <c r="I250" s="203"/>
      <c r="J250" s="203"/>
      <c r="K250" s="203"/>
      <c r="L250" s="203"/>
      <c r="M250" s="203"/>
      <c r="N250" s="203"/>
      <c r="O250" s="1198"/>
      <c r="P250" s="1199"/>
    </row>
    <row r="251" spans="1:16">
      <c r="A251" s="202"/>
      <c r="B251" s="196"/>
      <c r="C251" s="203"/>
      <c r="D251" s="196"/>
      <c r="E251" s="203"/>
      <c r="F251" s="203"/>
      <c r="G251" s="203"/>
      <c r="H251" s="203"/>
      <c r="I251" s="203"/>
      <c r="J251" s="203"/>
      <c r="K251" s="203"/>
      <c r="L251" s="203"/>
      <c r="M251" s="203"/>
      <c r="N251" s="203"/>
      <c r="O251" s="1198"/>
      <c r="P251" s="1199"/>
    </row>
    <row r="252" spans="1:16">
      <c r="A252" s="202"/>
      <c r="B252" s="196"/>
      <c r="C252" s="203"/>
      <c r="D252" s="196"/>
      <c r="E252" s="203"/>
      <c r="F252" s="203"/>
      <c r="G252" s="203"/>
      <c r="H252" s="203"/>
      <c r="I252" s="203"/>
      <c r="J252" s="203"/>
      <c r="K252" s="203"/>
      <c r="L252" s="203"/>
      <c r="M252" s="203"/>
      <c r="N252" s="203"/>
      <c r="O252" s="1198"/>
      <c r="P252" s="1199"/>
    </row>
    <row r="253" spans="1:16">
      <c r="A253" s="202"/>
      <c r="B253" s="196"/>
      <c r="C253" s="203"/>
      <c r="D253" s="196"/>
      <c r="E253" s="203"/>
      <c r="F253" s="203"/>
      <c r="G253" s="203"/>
      <c r="H253" s="203"/>
      <c r="I253" s="203"/>
      <c r="J253" s="203"/>
      <c r="K253" s="203"/>
      <c r="L253" s="203"/>
      <c r="M253" s="203"/>
      <c r="N253" s="203"/>
      <c r="O253" s="1198"/>
      <c r="P253" s="1199"/>
    </row>
    <row r="254" spans="1:16">
      <c r="A254" s="202"/>
      <c r="B254" s="196"/>
      <c r="C254" s="203"/>
      <c r="D254" s="196"/>
      <c r="E254" s="203"/>
      <c r="F254" s="203"/>
      <c r="G254" s="203"/>
      <c r="H254" s="203"/>
      <c r="I254" s="203"/>
      <c r="J254" s="203"/>
      <c r="K254" s="203"/>
      <c r="L254" s="203"/>
      <c r="M254" s="203"/>
      <c r="N254" s="203"/>
      <c r="O254" s="1198"/>
      <c r="P254" s="1199"/>
    </row>
    <row r="255" spans="1:16">
      <c r="A255" s="202"/>
      <c r="B255" s="196"/>
      <c r="C255" s="203"/>
      <c r="D255" s="196"/>
      <c r="E255" s="203"/>
      <c r="F255" s="203"/>
      <c r="G255" s="203"/>
      <c r="H255" s="203"/>
      <c r="I255" s="203"/>
      <c r="J255" s="203"/>
      <c r="K255" s="203"/>
      <c r="L255" s="203"/>
      <c r="M255" s="203"/>
      <c r="N255" s="203"/>
      <c r="O255" s="1198"/>
      <c r="P255" s="1199"/>
    </row>
    <row r="256" spans="1:16">
      <c r="A256" s="202"/>
      <c r="B256" s="196"/>
      <c r="C256" s="203"/>
      <c r="D256" s="196"/>
      <c r="E256" s="203"/>
      <c r="F256" s="203"/>
      <c r="G256" s="203"/>
      <c r="H256" s="203"/>
      <c r="I256" s="203"/>
      <c r="J256" s="203"/>
      <c r="K256" s="203"/>
      <c r="L256" s="203"/>
      <c r="M256" s="203"/>
      <c r="N256" s="203"/>
      <c r="O256" s="1198"/>
      <c r="P256" s="1199"/>
    </row>
    <row r="257" spans="1:16">
      <c r="A257" s="202"/>
      <c r="B257" s="196"/>
      <c r="C257" s="203"/>
      <c r="D257" s="196"/>
      <c r="E257" s="203"/>
      <c r="F257" s="203"/>
      <c r="G257" s="203"/>
      <c r="H257" s="203"/>
      <c r="I257" s="203"/>
      <c r="J257" s="203"/>
      <c r="K257" s="203"/>
      <c r="L257" s="203"/>
      <c r="M257" s="203"/>
      <c r="N257" s="203"/>
      <c r="O257" s="1198"/>
      <c r="P257" s="1199"/>
    </row>
    <row r="258" spans="1:16">
      <c r="A258" s="202"/>
      <c r="B258" s="196"/>
      <c r="C258" s="203"/>
      <c r="D258" s="196"/>
      <c r="E258" s="203"/>
      <c r="F258" s="203"/>
      <c r="G258" s="203"/>
      <c r="H258" s="203"/>
      <c r="I258" s="203"/>
      <c r="J258" s="203"/>
      <c r="K258" s="203"/>
      <c r="L258" s="203"/>
      <c r="M258" s="203"/>
      <c r="N258" s="203"/>
      <c r="O258" s="1198"/>
      <c r="P258" s="1199"/>
    </row>
    <row r="259" spans="1:16">
      <c r="A259" s="202"/>
      <c r="B259" s="196"/>
      <c r="C259" s="203"/>
      <c r="D259" s="196"/>
      <c r="E259" s="203"/>
      <c r="F259" s="203"/>
      <c r="G259" s="203"/>
      <c r="H259" s="203"/>
      <c r="I259" s="203"/>
      <c r="J259" s="203"/>
      <c r="K259" s="203"/>
      <c r="L259" s="203"/>
      <c r="M259" s="203"/>
      <c r="N259" s="203"/>
      <c r="O259" s="1198"/>
      <c r="P259" s="1199"/>
    </row>
    <row r="260" spans="1:16">
      <c r="A260" s="202"/>
      <c r="B260" s="196"/>
      <c r="C260" s="203"/>
      <c r="D260" s="196"/>
      <c r="E260" s="203"/>
      <c r="F260" s="203"/>
      <c r="G260" s="203"/>
      <c r="H260" s="203"/>
      <c r="I260" s="203"/>
      <c r="J260" s="203"/>
      <c r="K260" s="203"/>
      <c r="L260" s="203"/>
      <c r="M260" s="203"/>
      <c r="N260" s="203"/>
      <c r="O260" s="1198"/>
      <c r="P260" s="1199"/>
    </row>
    <row r="261" spans="1:16">
      <c r="A261" s="202"/>
      <c r="B261" s="203"/>
      <c r="C261" s="203"/>
      <c r="D261" s="203"/>
      <c r="E261" s="203"/>
      <c r="F261" s="203"/>
      <c r="G261" s="203"/>
      <c r="H261" s="203"/>
      <c r="I261" s="203"/>
      <c r="J261" s="203"/>
      <c r="K261" s="203"/>
      <c r="L261" s="203"/>
      <c r="M261" s="203"/>
      <c r="N261" s="203"/>
      <c r="O261" s="1198"/>
      <c r="P261" s="1199"/>
    </row>
    <row r="262" spans="1:16">
      <c r="A262" s="202"/>
      <c r="B262" s="203"/>
      <c r="C262" s="203"/>
      <c r="D262" s="203"/>
      <c r="E262" s="203"/>
      <c r="F262" s="203"/>
      <c r="G262" s="203"/>
      <c r="H262" s="203"/>
      <c r="I262" s="203"/>
      <c r="J262" s="203"/>
      <c r="K262" s="203"/>
      <c r="L262" s="203"/>
      <c r="M262" s="203"/>
      <c r="N262" s="203"/>
      <c r="O262" s="1198"/>
      <c r="P262" s="1199"/>
    </row>
    <row r="263" spans="1:16">
      <c r="A263" s="202"/>
      <c r="B263" s="203"/>
      <c r="C263" s="203"/>
      <c r="D263" s="203"/>
      <c r="E263" s="203"/>
      <c r="F263" s="203"/>
      <c r="G263" s="203"/>
      <c r="H263" s="203"/>
      <c r="I263" s="203"/>
      <c r="J263" s="203"/>
      <c r="K263" s="203"/>
      <c r="L263" s="203"/>
      <c r="M263" s="203"/>
      <c r="N263" s="203"/>
      <c r="O263" s="1198"/>
      <c r="P263" s="1199"/>
    </row>
    <row r="264" spans="1:16" ht="15" thickBot="1">
      <c r="A264" s="211"/>
      <c r="B264" s="207"/>
      <c r="C264" s="207"/>
      <c r="D264" s="207"/>
      <c r="E264" s="207"/>
      <c r="F264" s="207"/>
      <c r="G264" s="207"/>
      <c r="H264" s="207"/>
      <c r="I264" s="207"/>
      <c r="J264" s="207"/>
      <c r="K264" s="207"/>
      <c r="L264" s="207"/>
      <c r="M264" s="207"/>
      <c r="N264" s="207"/>
      <c r="O264" s="1200"/>
      <c r="P264" s="1201"/>
    </row>
    <row r="267" spans="1:16">
      <c r="A267" s="6" t="s">
        <v>1154</v>
      </c>
    </row>
    <row r="268" spans="1:16">
      <c r="B268" s="6" t="s">
        <v>1155</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1156</v>
      </c>
      <c r="C277" s="528" t="s">
        <v>94</v>
      </c>
      <c r="D277" s="7" t="s">
        <v>139</v>
      </c>
      <c r="E277" s="529">
        <v>0</v>
      </c>
      <c r="F277" s="406" t="s">
        <v>1157</v>
      </c>
      <c r="G277" s="530" t="s">
        <v>1158</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1156</v>
      </c>
      <c r="C278" s="543" t="s">
        <v>95</v>
      </c>
      <c r="D278" s="7" t="s">
        <v>139</v>
      </c>
      <c r="E278" s="529">
        <v>0</v>
      </c>
      <c r="F278" s="406" t="s">
        <v>1157</v>
      </c>
      <c r="G278" s="530" t="s">
        <v>1158</v>
      </c>
      <c r="H278" s="531"/>
      <c r="I278" s="532"/>
      <c r="J278" s="532"/>
      <c r="K278" s="532"/>
      <c r="L278" s="532"/>
      <c r="M278" s="533"/>
      <c r="N278" s="534" t="str">
        <f t="shared" si="7"/>
        <v/>
      </c>
      <c r="O278" s="535" t="str">
        <f t="shared" si="8"/>
        <v/>
      </c>
      <c r="P278" s="536"/>
    </row>
    <row r="279" spans="1:16" s="2" customFormat="1">
      <c r="A279" s="526" t="s">
        <v>39</v>
      </c>
      <c r="B279" s="527" t="s">
        <v>1156</v>
      </c>
      <c r="C279" s="546" t="s">
        <v>96</v>
      </c>
      <c r="D279" s="7" t="s">
        <v>139</v>
      </c>
      <c r="E279" s="529">
        <v>0</v>
      </c>
      <c r="F279" s="406" t="s">
        <v>1157</v>
      </c>
      <c r="G279" s="530" t="s">
        <v>1158</v>
      </c>
      <c r="H279" s="531"/>
      <c r="I279" s="532"/>
      <c r="J279" s="532"/>
      <c r="K279" s="532"/>
      <c r="L279" s="532"/>
      <c r="M279" s="533"/>
      <c r="N279" s="534" t="str">
        <f t="shared" si="7"/>
        <v/>
      </c>
      <c r="O279" s="535" t="str">
        <f t="shared" si="8"/>
        <v/>
      </c>
      <c r="P279" s="536"/>
    </row>
    <row r="280" spans="1:16" s="2" customFormat="1">
      <c r="A280" s="526" t="s">
        <v>39</v>
      </c>
      <c r="B280" s="527" t="s">
        <v>1156</v>
      </c>
      <c r="C280" s="547" t="s">
        <v>97</v>
      </c>
      <c r="D280" s="7" t="s">
        <v>139</v>
      </c>
      <c r="E280" s="529">
        <v>0</v>
      </c>
      <c r="F280" s="406" t="s">
        <v>1157</v>
      </c>
      <c r="G280" s="530" t="s">
        <v>1158</v>
      </c>
      <c r="H280" s="531"/>
      <c r="I280" s="532"/>
      <c r="J280" s="532"/>
      <c r="K280" s="532"/>
      <c r="L280" s="532"/>
      <c r="M280" s="533"/>
      <c r="N280" s="534" t="str">
        <f t="shared" si="7"/>
        <v/>
      </c>
      <c r="O280" s="535" t="str">
        <f t="shared" si="8"/>
        <v/>
      </c>
      <c r="P280" s="536"/>
    </row>
    <row r="281" spans="1:16" s="2" customFormat="1">
      <c r="A281" s="526" t="s">
        <v>39</v>
      </c>
      <c r="B281" s="527" t="s">
        <v>1156</v>
      </c>
      <c r="C281" s="548" t="s">
        <v>93</v>
      </c>
      <c r="D281" s="7" t="s">
        <v>139</v>
      </c>
      <c r="E281" s="529">
        <v>0</v>
      </c>
      <c r="F281" s="406" t="s">
        <v>1157</v>
      </c>
      <c r="G281" s="530" t="s">
        <v>1158</v>
      </c>
      <c r="H281" s="531"/>
      <c r="I281" s="532"/>
      <c r="J281" s="532"/>
      <c r="K281" s="532"/>
      <c r="L281" s="532"/>
      <c r="M281" s="533"/>
      <c r="N281" s="534" t="str">
        <f t="shared" si="7"/>
        <v/>
      </c>
      <c r="O281" s="535" t="str">
        <f t="shared" si="8"/>
        <v/>
      </c>
      <c r="P281" s="536"/>
    </row>
    <row r="282" spans="1:16" s="2" customFormat="1">
      <c r="A282" s="526" t="s">
        <v>39</v>
      </c>
      <c r="B282" s="527" t="s">
        <v>1159</v>
      </c>
      <c r="C282" s="528" t="s">
        <v>94</v>
      </c>
      <c r="D282" s="7" t="s">
        <v>139</v>
      </c>
      <c r="E282" s="529">
        <v>0</v>
      </c>
      <c r="F282" s="406" t="s">
        <v>1157</v>
      </c>
      <c r="G282" s="530" t="s">
        <v>1158</v>
      </c>
      <c r="H282" s="531"/>
      <c r="I282" s="532"/>
      <c r="J282" s="532"/>
      <c r="K282" s="532"/>
      <c r="L282" s="532"/>
      <c r="M282" s="533"/>
      <c r="N282" s="534" t="str">
        <f t="shared" si="7"/>
        <v/>
      </c>
      <c r="O282" s="535" t="str">
        <f t="shared" si="8"/>
        <v/>
      </c>
      <c r="P282" s="536"/>
    </row>
    <row r="283" spans="1:16" s="2" customFormat="1">
      <c r="A283" s="526" t="s">
        <v>39</v>
      </c>
      <c r="B283" s="527" t="s">
        <v>1159</v>
      </c>
      <c r="C283" s="543" t="s">
        <v>95</v>
      </c>
      <c r="D283" s="7" t="s">
        <v>139</v>
      </c>
      <c r="E283" s="537">
        <v>0.03</v>
      </c>
      <c r="F283" s="406" t="s">
        <v>1157</v>
      </c>
      <c r="G283" s="530" t="s">
        <v>1158</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1159</v>
      </c>
      <c r="C284" s="546" t="s">
        <v>96</v>
      </c>
      <c r="D284" s="7" t="s">
        <v>139</v>
      </c>
      <c r="E284" s="529">
        <v>0</v>
      </c>
      <c r="F284" s="406" t="s">
        <v>1157</v>
      </c>
      <c r="G284" s="530" t="s">
        <v>1158</v>
      </c>
      <c r="H284" s="531"/>
      <c r="I284" s="532"/>
      <c r="J284" s="532"/>
      <c r="K284" s="532"/>
      <c r="L284" s="532"/>
      <c r="M284" s="533"/>
      <c r="N284" s="534" t="str">
        <f t="shared" si="7"/>
        <v/>
      </c>
      <c r="O284" s="535" t="str">
        <f t="shared" si="8"/>
        <v/>
      </c>
      <c r="P284" s="536"/>
    </row>
    <row r="285" spans="1:16" s="2" customFormat="1">
      <c r="A285" s="526" t="s">
        <v>39</v>
      </c>
      <c r="B285" s="527" t="s">
        <v>1159</v>
      </c>
      <c r="C285" s="547" t="s">
        <v>97</v>
      </c>
      <c r="D285" s="7" t="s">
        <v>139</v>
      </c>
      <c r="E285" s="529">
        <v>0</v>
      </c>
      <c r="F285" s="406" t="s">
        <v>1157</v>
      </c>
      <c r="G285" s="530" t="s">
        <v>1158</v>
      </c>
      <c r="H285" s="531"/>
      <c r="I285" s="532"/>
      <c r="J285" s="532"/>
      <c r="K285" s="532"/>
      <c r="L285" s="532"/>
      <c r="M285" s="533"/>
      <c r="N285" s="534" t="str">
        <f t="shared" si="7"/>
        <v/>
      </c>
      <c r="O285" s="535" t="str">
        <f t="shared" si="8"/>
        <v/>
      </c>
      <c r="P285" s="536"/>
    </row>
    <row r="286" spans="1:16" s="2" customFormat="1">
      <c r="A286" s="526" t="s">
        <v>39</v>
      </c>
      <c r="B286" s="527" t="s">
        <v>1159</v>
      </c>
      <c r="C286" s="548" t="s">
        <v>93</v>
      </c>
      <c r="D286" s="7" t="s">
        <v>139</v>
      </c>
      <c r="E286" s="529">
        <v>0</v>
      </c>
      <c r="F286" s="406" t="s">
        <v>1157</v>
      </c>
      <c r="G286" s="530" t="s">
        <v>1158</v>
      </c>
      <c r="H286" s="531"/>
      <c r="I286" s="532"/>
      <c r="J286" s="532"/>
      <c r="K286" s="532"/>
      <c r="L286" s="532"/>
      <c r="M286" s="533"/>
      <c r="N286" s="534" t="str">
        <f t="shared" si="7"/>
        <v/>
      </c>
      <c r="O286" s="535" t="str">
        <f t="shared" si="8"/>
        <v/>
      </c>
      <c r="P286" s="536"/>
    </row>
    <row r="287" spans="1:16" s="2" customFormat="1">
      <c r="A287" s="526" t="s">
        <v>39</v>
      </c>
      <c r="B287" s="527" t="s">
        <v>1160</v>
      </c>
      <c r="C287" s="528" t="s">
        <v>94</v>
      </c>
      <c r="D287" s="7" t="s">
        <v>139</v>
      </c>
      <c r="E287" s="529">
        <v>0</v>
      </c>
      <c r="F287" s="406" t="s">
        <v>1157</v>
      </c>
      <c r="G287" s="530" t="s">
        <v>1158</v>
      </c>
      <c r="H287" s="531"/>
      <c r="I287" s="532"/>
      <c r="J287" s="532"/>
      <c r="K287" s="532"/>
      <c r="L287" s="532"/>
      <c r="M287" s="533"/>
      <c r="N287" s="534" t="str">
        <f t="shared" si="7"/>
        <v/>
      </c>
      <c r="O287" s="535" t="str">
        <f t="shared" si="8"/>
        <v/>
      </c>
      <c r="P287" s="536"/>
    </row>
    <row r="288" spans="1:16" s="2" customFormat="1">
      <c r="A288" s="526" t="s">
        <v>39</v>
      </c>
      <c r="B288" s="527" t="s">
        <v>1160</v>
      </c>
      <c r="C288" s="543" t="s">
        <v>95</v>
      </c>
      <c r="D288" s="7" t="s">
        <v>139</v>
      </c>
      <c r="E288" s="529">
        <v>0</v>
      </c>
      <c r="F288" s="406" t="s">
        <v>1157</v>
      </c>
      <c r="G288" s="530" t="s">
        <v>1158</v>
      </c>
      <c r="H288" s="531"/>
      <c r="I288" s="532"/>
      <c r="J288" s="532"/>
      <c r="K288" s="532"/>
      <c r="L288" s="532"/>
      <c r="M288" s="533"/>
      <c r="N288" s="534" t="str">
        <f t="shared" si="7"/>
        <v/>
      </c>
      <c r="O288" s="535" t="str">
        <f t="shared" si="8"/>
        <v/>
      </c>
      <c r="P288" s="544"/>
    </row>
    <row r="289" spans="1:16" s="2" customFormat="1">
      <c r="A289" s="526" t="s">
        <v>39</v>
      </c>
      <c r="B289" s="527" t="s">
        <v>1160</v>
      </c>
      <c r="C289" s="546" t="s">
        <v>96</v>
      </c>
      <c r="D289" s="7" t="s">
        <v>139</v>
      </c>
      <c r="E289" s="529">
        <v>0</v>
      </c>
      <c r="F289" s="406" t="s">
        <v>1157</v>
      </c>
      <c r="G289" s="530" t="s">
        <v>1158</v>
      </c>
      <c r="H289" s="531"/>
      <c r="I289" s="532"/>
      <c r="J289" s="532"/>
      <c r="K289" s="532"/>
      <c r="L289" s="532"/>
      <c r="M289" s="533"/>
      <c r="N289" s="534" t="str">
        <f t="shared" si="7"/>
        <v/>
      </c>
      <c r="O289" s="535" t="str">
        <f t="shared" si="8"/>
        <v/>
      </c>
      <c r="P289" s="536"/>
    </row>
    <row r="290" spans="1:16" s="2" customFormat="1">
      <c r="A290" s="526" t="s">
        <v>39</v>
      </c>
      <c r="B290" s="527" t="s">
        <v>1160</v>
      </c>
      <c r="C290" s="547" t="s">
        <v>97</v>
      </c>
      <c r="D290" s="7" t="s">
        <v>139</v>
      </c>
      <c r="E290" s="529">
        <v>0</v>
      </c>
      <c r="F290" s="406" t="s">
        <v>1157</v>
      </c>
      <c r="G290" s="530" t="s">
        <v>1158</v>
      </c>
      <c r="H290" s="531"/>
      <c r="I290" s="532"/>
      <c r="J290" s="532"/>
      <c r="K290" s="532"/>
      <c r="L290" s="532"/>
      <c r="M290" s="533"/>
      <c r="N290" s="534" t="str">
        <f t="shared" si="7"/>
        <v/>
      </c>
      <c r="O290" s="535" t="str">
        <f t="shared" si="8"/>
        <v/>
      </c>
      <c r="P290" s="536"/>
    </row>
    <row r="291" spans="1:16" s="2" customFormat="1">
      <c r="A291" s="526" t="s">
        <v>39</v>
      </c>
      <c r="B291" s="527" t="s">
        <v>1160</v>
      </c>
      <c r="C291" s="548" t="s">
        <v>93</v>
      </c>
      <c r="D291" s="7" t="s">
        <v>139</v>
      </c>
      <c r="E291" s="529">
        <v>0</v>
      </c>
      <c r="F291" s="406" t="s">
        <v>1157</v>
      </c>
      <c r="G291" s="530" t="s">
        <v>1158</v>
      </c>
      <c r="H291" s="531"/>
      <c r="I291" s="532"/>
      <c r="J291" s="532"/>
      <c r="K291" s="532"/>
      <c r="L291" s="532"/>
      <c r="M291" s="533"/>
      <c r="N291" s="534" t="str">
        <f t="shared" si="7"/>
        <v/>
      </c>
      <c r="O291" s="535" t="str">
        <f t="shared" si="8"/>
        <v/>
      </c>
      <c r="P291" s="536"/>
    </row>
    <row r="292" spans="1:16" s="2" customFormat="1">
      <c r="A292" s="545" t="s">
        <v>39</v>
      </c>
      <c r="B292" s="527" t="s">
        <v>1161</v>
      </c>
      <c r="C292" s="528" t="s">
        <v>94</v>
      </c>
      <c r="D292" s="7" t="s">
        <v>139</v>
      </c>
      <c r="E292" s="529">
        <v>0</v>
      </c>
      <c r="F292" s="406" t="s">
        <v>1157</v>
      </c>
      <c r="G292" s="530" t="s">
        <v>1158</v>
      </c>
      <c r="H292" s="531"/>
      <c r="I292" s="532"/>
      <c r="J292" s="532"/>
      <c r="K292" s="532"/>
      <c r="L292" s="532"/>
      <c r="M292" s="533"/>
      <c r="N292" s="534" t="str">
        <f t="shared" si="7"/>
        <v/>
      </c>
      <c r="O292" s="535" t="str">
        <f t="shared" si="8"/>
        <v/>
      </c>
      <c r="P292" s="536"/>
    </row>
    <row r="293" spans="1:16" s="2" customFormat="1">
      <c r="A293" s="526" t="s">
        <v>39</v>
      </c>
      <c r="B293" s="527" t="s">
        <v>1161</v>
      </c>
      <c r="C293" s="543" t="s">
        <v>95</v>
      </c>
      <c r="D293" s="7" t="s">
        <v>139</v>
      </c>
      <c r="E293" s="540">
        <v>0.28299999999999997</v>
      </c>
      <c r="F293" s="406" t="s">
        <v>1157</v>
      </c>
      <c r="G293" s="530" t="s">
        <v>1158</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1161</v>
      </c>
      <c r="C294" s="546" t="s">
        <v>96</v>
      </c>
      <c r="D294" s="7" t="s">
        <v>139</v>
      </c>
      <c r="E294" s="529">
        <v>0</v>
      </c>
      <c r="F294" s="406" t="s">
        <v>1157</v>
      </c>
      <c r="G294" s="530" t="s">
        <v>1158</v>
      </c>
      <c r="H294" s="531"/>
      <c r="I294" s="532"/>
      <c r="J294" s="532"/>
      <c r="K294" s="532"/>
      <c r="L294" s="532"/>
      <c r="M294" s="533"/>
      <c r="N294" s="534" t="str">
        <f t="shared" si="7"/>
        <v/>
      </c>
      <c r="O294" s="535" t="str">
        <f t="shared" si="8"/>
        <v/>
      </c>
      <c r="P294" s="536"/>
    </row>
    <row r="295" spans="1:16" s="2" customFormat="1">
      <c r="A295" s="526" t="s">
        <v>39</v>
      </c>
      <c r="B295" s="527" t="s">
        <v>1161</v>
      </c>
      <c r="C295" s="547" t="s">
        <v>97</v>
      </c>
      <c r="D295" s="7" t="s">
        <v>139</v>
      </c>
      <c r="E295" s="529">
        <v>0</v>
      </c>
      <c r="F295" s="406" t="s">
        <v>1157</v>
      </c>
      <c r="G295" s="530" t="s">
        <v>1158</v>
      </c>
      <c r="H295" s="531"/>
      <c r="I295" s="532"/>
      <c r="J295" s="532"/>
      <c r="K295" s="532"/>
      <c r="L295" s="532"/>
      <c r="M295" s="533"/>
      <c r="N295" s="534" t="str">
        <f t="shared" si="7"/>
        <v/>
      </c>
      <c r="O295" s="535" t="str">
        <f t="shared" si="8"/>
        <v/>
      </c>
      <c r="P295" s="536"/>
    </row>
    <row r="296" spans="1:16" s="2" customFormat="1">
      <c r="A296" s="526" t="s">
        <v>39</v>
      </c>
      <c r="B296" s="527" t="s">
        <v>1161</v>
      </c>
      <c r="C296" s="548" t="s">
        <v>93</v>
      </c>
      <c r="D296" s="7" t="s">
        <v>139</v>
      </c>
      <c r="E296" s="529">
        <v>0</v>
      </c>
      <c r="F296" s="406" t="s">
        <v>1157</v>
      </c>
      <c r="G296" s="530" t="s">
        <v>1158</v>
      </c>
      <c r="H296" s="531"/>
      <c r="I296" s="532"/>
      <c r="J296" s="532"/>
      <c r="K296" s="532"/>
      <c r="L296" s="532"/>
      <c r="M296" s="533"/>
      <c r="N296" s="534" t="str">
        <f t="shared" si="7"/>
        <v/>
      </c>
      <c r="O296" s="535" t="str">
        <f t="shared" si="8"/>
        <v/>
      </c>
      <c r="P296" s="536"/>
    </row>
    <row r="297" spans="1:16" s="2" customFormat="1">
      <c r="A297" s="526" t="s">
        <v>39</v>
      </c>
      <c r="B297" s="527" t="s">
        <v>1162</v>
      </c>
      <c r="C297" s="528" t="s">
        <v>94</v>
      </c>
      <c r="D297" s="7" t="s">
        <v>139</v>
      </c>
      <c r="E297" s="529">
        <v>0</v>
      </c>
      <c r="F297" s="406" t="s">
        <v>1157</v>
      </c>
      <c r="G297" s="530" t="s">
        <v>1158</v>
      </c>
      <c r="H297" s="531"/>
      <c r="I297" s="532"/>
      <c r="J297" s="532"/>
      <c r="K297" s="532"/>
      <c r="L297" s="532"/>
      <c r="M297" s="533"/>
      <c r="N297" s="534" t="str">
        <f t="shared" si="7"/>
        <v/>
      </c>
      <c r="O297" s="535" t="str">
        <f t="shared" si="8"/>
        <v/>
      </c>
      <c r="P297" s="536"/>
    </row>
    <row r="298" spans="1:16" s="2" customFormat="1">
      <c r="A298" s="526" t="s">
        <v>39</v>
      </c>
      <c r="B298" s="527" t="s">
        <v>1162</v>
      </c>
      <c r="C298" s="543" t="s">
        <v>95</v>
      </c>
      <c r="D298" s="7" t="s">
        <v>139</v>
      </c>
      <c r="E298" s="540">
        <v>0.64300000000000002</v>
      </c>
      <c r="F298" s="406" t="s">
        <v>1157</v>
      </c>
      <c r="G298" s="530" t="s">
        <v>1158</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1162</v>
      </c>
      <c r="C299" s="546" t="s">
        <v>96</v>
      </c>
      <c r="D299" s="7" t="s">
        <v>139</v>
      </c>
      <c r="E299" s="529">
        <v>0</v>
      </c>
      <c r="F299" s="406" t="s">
        <v>1157</v>
      </c>
      <c r="G299" s="530" t="s">
        <v>1158</v>
      </c>
      <c r="H299" s="531"/>
      <c r="I299" s="532"/>
      <c r="J299" s="532"/>
      <c r="K299" s="532"/>
      <c r="L299" s="532"/>
      <c r="M299" s="533"/>
      <c r="N299" s="534" t="str">
        <f t="shared" si="7"/>
        <v/>
      </c>
      <c r="O299" s="535" t="str">
        <f t="shared" si="8"/>
        <v/>
      </c>
      <c r="P299" s="536"/>
    </row>
    <row r="300" spans="1:16" s="2" customFormat="1">
      <c r="A300" s="526" t="s">
        <v>39</v>
      </c>
      <c r="B300" s="527" t="s">
        <v>1162</v>
      </c>
      <c r="C300" s="547" t="s">
        <v>97</v>
      </c>
      <c r="D300" s="7" t="s">
        <v>139</v>
      </c>
      <c r="E300" s="529">
        <v>0</v>
      </c>
      <c r="F300" s="406" t="s">
        <v>1157</v>
      </c>
      <c r="G300" s="530" t="s">
        <v>1158</v>
      </c>
      <c r="H300" s="531"/>
      <c r="I300" s="532"/>
      <c r="J300" s="532"/>
      <c r="K300" s="532"/>
      <c r="L300" s="532"/>
      <c r="M300" s="533"/>
      <c r="N300" s="534" t="str">
        <f t="shared" si="7"/>
        <v/>
      </c>
      <c r="O300" s="535" t="str">
        <f t="shared" si="8"/>
        <v/>
      </c>
      <c r="P300" s="536"/>
    </row>
    <row r="301" spans="1:16" s="2" customFormat="1">
      <c r="A301" s="526" t="s">
        <v>39</v>
      </c>
      <c r="B301" s="527" t="s">
        <v>1162</v>
      </c>
      <c r="C301" s="548" t="s">
        <v>93</v>
      </c>
      <c r="D301" s="7" t="s">
        <v>139</v>
      </c>
      <c r="E301" s="529">
        <v>0</v>
      </c>
      <c r="F301" s="406" t="s">
        <v>1157</v>
      </c>
      <c r="G301" s="530" t="s">
        <v>1158</v>
      </c>
      <c r="H301" s="531"/>
      <c r="I301" s="532"/>
      <c r="J301" s="532"/>
      <c r="K301" s="532"/>
      <c r="L301" s="532"/>
      <c r="M301" s="533"/>
      <c r="N301" s="534" t="str">
        <f t="shared" si="7"/>
        <v/>
      </c>
      <c r="O301" s="535" t="str">
        <f t="shared" si="8"/>
        <v/>
      </c>
      <c r="P301" s="536"/>
    </row>
    <row r="302" spans="1:16" s="2" customFormat="1">
      <c r="A302" s="545" t="s">
        <v>39</v>
      </c>
      <c r="B302" s="527" t="s">
        <v>1071</v>
      </c>
      <c r="C302" s="528" t="s">
        <v>94</v>
      </c>
      <c r="D302" s="7" t="s">
        <v>139</v>
      </c>
      <c r="E302" s="529">
        <v>0</v>
      </c>
      <c r="F302" s="406" t="s">
        <v>1157</v>
      </c>
      <c r="G302" s="530" t="s">
        <v>1158</v>
      </c>
      <c r="H302" s="531"/>
      <c r="I302" s="532"/>
      <c r="J302" s="532"/>
      <c r="K302" s="532"/>
      <c r="L302" s="532"/>
      <c r="M302" s="533"/>
      <c r="N302" s="534" t="str">
        <f t="shared" si="7"/>
        <v/>
      </c>
      <c r="O302" s="535" t="str">
        <f t="shared" si="8"/>
        <v/>
      </c>
      <c r="P302" s="536"/>
    </row>
    <row r="303" spans="1:16" s="2" customFormat="1">
      <c r="A303" s="526" t="s">
        <v>39</v>
      </c>
      <c r="B303" s="527" t="s">
        <v>1071</v>
      </c>
      <c r="C303" s="543" t="s">
        <v>95</v>
      </c>
      <c r="D303" s="7" t="s">
        <v>139</v>
      </c>
      <c r="E303" s="537">
        <v>4.3999999999999997E-2</v>
      </c>
      <c r="F303" s="406" t="s">
        <v>1157</v>
      </c>
      <c r="G303" s="530" t="s">
        <v>1158</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1071</v>
      </c>
      <c r="C304" s="546" t="s">
        <v>96</v>
      </c>
      <c r="D304" s="7" t="s">
        <v>139</v>
      </c>
      <c r="E304" s="529">
        <v>0</v>
      </c>
      <c r="F304" s="406" t="s">
        <v>1157</v>
      </c>
      <c r="G304" s="530" t="s">
        <v>1158</v>
      </c>
      <c r="H304" s="531"/>
      <c r="I304" s="532"/>
      <c r="J304" s="532"/>
      <c r="K304" s="532"/>
      <c r="L304" s="532"/>
      <c r="M304" s="533"/>
      <c r="N304" s="534" t="str">
        <f t="shared" si="7"/>
        <v/>
      </c>
      <c r="O304" s="535" t="str">
        <f t="shared" si="8"/>
        <v/>
      </c>
      <c r="P304" s="536"/>
    </row>
    <row r="305" spans="1:16" s="2" customFormat="1">
      <c r="A305" s="526" t="s">
        <v>39</v>
      </c>
      <c r="B305" s="527" t="s">
        <v>1071</v>
      </c>
      <c r="C305" s="547" t="s">
        <v>97</v>
      </c>
      <c r="D305" s="7" t="s">
        <v>139</v>
      </c>
      <c r="E305" s="529">
        <v>0</v>
      </c>
      <c r="F305" s="406" t="s">
        <v>1157</v>
      </c>
      <c r="G305" s="530" t="s">
        <v>1158</v>
      </c>
      <c r="H305" s="531"/>
      <c r="I305" s="532"/>
      <c r="J305" s="532"/>
      <c r="K305" s="532"/>
      <c r="L305" s="532"/>
      <c r="M305" s="533"/>
      <c r="N305" s="534" t="str">
        <f t="shared" si="7"/>
        <v/>
      </c>
      <c r="O305" s="535" t="str">
        <f t="shared" si="8"/>
        <v/>
      </c>
      <c r="P305" s="536"/>
    </row>
    <row r="306" spans="1:16" s="2" customFormat="1">
      <c r="A306" s="526" t="s">
        <v>39</v>
      </c>
      <c r="B306" s="527" t="s">
        <v>1071</v>
      </c>
      <c r="C306" s="548" t="s">
        <v>93</v>
      </c>
      <c r="D306" s="7" t="s">
        <v>139</v>
      </c>
      <c r="E306" s="537">
        <v>0.5</v>
      </c>
      <c r="F306" s="406" t="s">
        <v>1157</v>
      </c>
      <c r="G306" s="530" t="s">
        <v>1158</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1163</v>
      </c>
      <c r="C307" s="528" t="s">
        <v>94</v>
      </c>
      <c r="D307" s="7" t="s">
        <v>139</v>
      </c>
      <c r="E307" s="529">
        <v>0</v>
      </c>
      <c r="F307" s="406" t="s">
        <v>1157</v>
      </c>
      <c r="G307" s="530" t="s">
        <v>1158</v>
      </c>
      <c r="H307" s="531"/>
      <c r="I307" s="532"/>
      <c r="J307" s="532"/>
      <c r="K307" s="532"/>
      <c r="L307" s="532"/>
      <c r="M307" s="533"/>
      <c r="N307" s="534" t="str">
        <f t="shared" si="7"/>
        <v/>
      </c>
      <c r="O307" s="535" t="str">
        <f t="shared" si="8"/>
        <v/>
      </c>
      <c r="P307" s="536"/>
    </row>
    <row r="308" spans="1:16" s="2" customFormat="1">
      <c r="A308" s="526" t="s">
        <v>39</v>
      </c>
      <c r="B308" s="527" t="s">
        <v>1163</v>
      </c>
      <c r="C308" s="543" t="s">
        <v>95</v>
      </c>
      <c r="D308" s="7" t="s">
        <v>139</v>
      </c>
      <c r="E308" s="529">
        <v>0</v>
      </c>
      <c r="F308" s="406" t="s">
        <v>1157</v>
      </c>
      <c r="G308" s="530" t="s">
        <v>1158</v>
      </c>
      <c r="H308" s="531"/>
      <c r="I308" s="532"/>
      <c r="J308" s="532"/>
      <c r="K308" s="532"/>
      <c r="L308" s="532"/>
      <c r="M308" s="533"/>
      <c r="N308" s="534" t="str">
        <f t="shared" si="7"/>
        <v/>
      </c>
      <c r="O308" s="535" t="str">
        <f t="shared" si="8"/>
        <v/>
      </c>
      <c r="P308" s="536"/>
    </row>
    <row r="309" spans="1:16" s="2" customFormat="1">
      <c r="A309" s="526" t="s">
        <v>39</v>
      </c>
      <c r="B309" s="527" t="s">
        <v>1163</v>
      </c>
      <c r="C309" s="546" t="s">
        <v>96</v>
      </c>
      <c r="D309" s="7" t="s">
        <v>139</v>
      </c>
      <c r="E309" s="529">
        <v>0</v>
      </c>
      <c r="F309" s="406" t="s">
        <v>1157</v>
      </c>
      <c r="G309" s="530" t="s">
        <v>1158</v>
      </c>
      <c r="H309" s="531"/>
      <c r="I309" s="532"/>
      <c r="J309" s="532"/>
      <c r="K309" s="532"/>
      <c r="L309" s="532"/>
      <c r="M309" s="533"/>
      <c r="N309" s="534" t="str">
        <f t="shared" si="7"/>
        <v/>
      </c>
      <c r="O309" s="535" t="str">
        <f t="shared" si="8"/>
        <v/>
      </c>
      <c r="P309" s="536"/>
    </row>
    <row r="310" spans="1:16" s="2" customFormat="1">
      <c r="A310" s="526" t="s">
        <v>39</v>
      </c>
      <c r="B310" s="527" t="s">
        <v>1163</v>
      </c>
      <c r="C310" s="547" t="s">
        <v>97</v>
      </c>
      <c r="D310" s="7" t="s">
        <v>139</v>
      </c>
      <c r="E310" s="529">
        <v>0</v>
      </c>
      <c r="F310" s="406" t="s">
        <v>1157</v>
      </c>
      <c r="G310" s="530" t="s">
        <v>1158</v>
      </c>
      <c r="H310" s="531"/>
      <c r="I310" s="532"/>
      <c r="J310" s="532"/>
      <c r="K310" s="532"/>
      <c r="L310" s="532"/>
      <c r="M310" s="533"/>
      <c r="N310" s="534" t="str">
        <f t="shared" si="7"/>
        <v/>
      </c>
      <c r="O310" s="535" t="str">
        <f t="shared" si="8"/>
        <v/>
      </c>
      <c r="P310" s="536"/>
    </row>
    <row r="311" spans="1:16" s="2" customFormat="1">
      <c r="A311" s="526" t="s">
        <v>39</v>
      </c>
      <c r="B311" s="527" t="s">
        <v>1163</v>
      </c>
      <c r="C311" s="548" t="s">
        <v>93</v>
      </c>
      <c r="D311" s="7" t="s">
        <v>139</v>
      </c>
      <c r="E311" s="529">
        <v>0</v>
      </c>
      <c r="F311" s="406" t="s">
        <v>1157</v>
      </c>
      <c r="G311" s="530" t="s">
        <v>1158</v>
      </c>
      <c r="H311" s="531"/>
      <c r="I311" s="532"/>
      <c r="J311" s="532"/>
      <c r="K311" s="532"/>
      <c r="L311" s="532"/>
      <c r="M311" s="533"/>
      <c r="N311" s="534" t="str">
        <f t="shared" si="7"/>
        <v/>
      </c>
      <c r="O311" s="535" t="str">
        <f t="shared" si="8"/>
        <v/>
      </c>
      <c r="P311" s="536"/>
    </row>
    <row r="312" spans="1:16" s="2" customFormat="1">
      <c r="A312" s="545" t="s">
        <v>39</v>
      </c>
      <c r="B312" s="527" t="s">
        <v>1164</v>
      </c>
      <c r="C312" s="528" t="s">
        <v>94</v>
      </c>
      <c r="D312" s="7" t="s">
        <v>139</v>
      </c>
      <c r="E312" s="537">
        <v>1</v>
      </c>
      <c r="F312" s="406" t="s">
        <v>1157</v>
      </c>
      <c r="G312" s="530" t="s">
        <v>1158</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1164</v>
      </c>
      <c r="C313" s="543" t="s">
        <v>95</v>
      </c>
      <c r="D313" s="7" t="s">
        <v>139</v>
      </c>
      <c r="E313" s="529">
        <v>0</v>
      </c>
      <c r="F313" s="406" t="s">
        <v>1157</v>
      </c>
      <c r="G313" s="530" t="s">
        <v>1158</v>
      </c>
      <c r="H313" s="531"/>
      <c r="I313" s="532"/>
      <c r="J313" s="532"/>
      <c r="K313" s="532"/>
      <c r="L313" s="532"/>
      <c r="M313" s="533"/>
      <c r="N313" s="534" t="str">
        <f t="shared" si="7"/>
        <v/>
      </c>
      <c r="O313" s="535" t="str">
        <f t="shared" si="8"/>
        <v/>
      </c>
      <c r="P313" s="536"/>
    </row>
    <row r="314" spans="1:16" s="2" customFormat="1">
      <c r="A314" s="526" t="s">
        <v>39</v>
      </c>
      <c r="B314" s="527" t="s">
        <v>1164</v>
      </c>
      <c r="C314" s="546" t="s">
        <v>96</v>
      </c>
      <c r="D314" s="7" t="s">
        <v>139</v>
      </c>
      <c r="E314" s="537">
        <v>1</v>
      </c>
      <c r="F314" s="406" t="s">
        <v>1157</v>
      </c>
      <c r="G314" s="530" t="s">
        <v>1158</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1164</v>
      </c>
      <c r="C315" s="547" t="s">
        <v>97</v>
      </c>
      <c r="D315" s="7" t="s">
        <v>139</v>
      </c>
      <c r="E315" s="529">
        <v>0</v>
      </c>
      <c r="F315" s="406" t="s">
        <v>1157</v>
      </c>
      <c r="G315" s="530" t="s">
        <v>1158</v>
      </c>
      <c r="H315" s="531"/>
      <c r="I315" s="532"/>
      <c r="J315" s="532"/>
      <c r="K315" s="532"/>
      <c r="L315" s="532"/>
      <c r="M315" s="533"/>
      <c r="N315" s="534" t="str">
        <f t="shared" si="7"/>
        <v/>
      </c>
      <c r="O315" s="535" t="str">
        <f t="shared" si="8"/>
        <v/>
      </c>
      <c r="P315" s="536"/>
    </row>
    <row r="316" spans="1:16" s="2" customFormat="1">
      <c r="A316" s="526" t="s">
        <v>39</v>
      </c>
      <c r="B316" s="527" t="s">
        <v>1164</v>
      </c>
      <c r="C316" s="548" t="s">
        <v>93</v>
      </c>
      <c r="D316" s="7" t="s">
        <v>139</v>
      </c>
      <c r="E316" s="540">
        <v>0.5</v>
      </c>
      <c r="F316" s="406" t="s">
        <v>1157</v>
      </c>
      <c r="G316" s="530" t="s">
        <v>1158</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1165</v>
      </c>
      <c r="C317" s="528" t="s">
        <v>94</v>
      </c>
      <c r="D317" s="7" t="s">
        <v>139</v>
      </c>
      <c r="E317" s="529">
        <v>0</v>
      </c>
      <c r="F317" s="406" t="s">
        <v>1157</v>
      </c>
      <c r="G317" s="530" t="s">
        <v>1158</v>
      </c>
      <c r="H317" s="531"/>
      <c r="I317" s="532"/>
      <c r="J317" s="532"/>
      <c r="K317" s="532"/>
      <c r="L317" s="532"/>
      <c r="M317" s="533"/>
      <c r="N317" s="534" t="str">
        <f t="shared" si="7"/>
        <v/>
      </c>
      <c r="O317" s="535" t="str">
        <f t="shared" si="8"/>
        <v/>
      </c>
      <c r="P317" s="536"/>
    </row>
    <row r="318" spans="1:16" s="2" customFormat="1">
      <c r="A318" s="526" t="s">
        <v>39</v>
      </c>
      <c r="B318" s="527" t="s">
        <v>1165</v>
      </c>
      <c r="C318" s="543" t="s">
        <v>95</v>
      </c>
      <c r="D318" s="7" t="s">
        <v>139</v>
      </c>
      <c r="E318" s="529">
        <v>0</v>
      </c>
      <c r="F318" s="406" t="s">
        <v>1157</v>
      </c>
      <c r="G318" s="530" t="s">
        <v>1158</v>
      </c>
      <c r="H318" s="531"/>
      <c r="I318" s="532"/>
      <c r="J318" s="532"/>
      <c r="K318" s="532"/>
      <c r="L318" s="532"/>
      <c r="M318" s="533"/>
      <c r="N318" s="534" t="str">
        <f t="shared" si="7"/>
        <v/>
      </c>
      <c r="O318" s="535" t="str">
        <f t="shared" si="8"/>
        <v/>
      </c>
      <c r="P318" s="536"/>
    </row>
    <row r="319" spans="1:16" s="2" customFormat="1">
      <c r="A319" s="526" t="s">
        <v>39</v>
      </c>
      <c r="B319" s="527" t="s">
        <v>1165</v>
      </c>
      <c r="C319" s="546" t="s">
        <v>96</v>
      </c>
      <c r="D319" s="7" t="s">
        <v>139</v>
      </c>
      <c r="E319" s="529">
        <v>0</v>
      </c>
      <c r="F319" s="406" t="s">
        <v>1157</v>
      </c>
      <c r="G319" s="530" t="s">
        <v>1158</v>
      </c>
      <c r="H319" s="531"/>
      <c r="I319" s="532"/>
      <c r="J319" s="532"/>
      <c r="K319" s="532"/>
      <c r="L319" s="532"/>
      <c r="M319" s="533"/>
      <c r="N319" s="534" t="str">
        <f t="shared" si="7"/>
        <v/>
      </c>
      <c r="O319" s="535" t="str">
        <f t="shared" si="8"/>
        <v/>
      </c>
      <c r="P319" s="536"/>
    </row>
    <row r="320" spans="1:16" s="2" customFormat="1">
      <c r="A320" s="526" t="s">
        <v>39</v>
      </c>
      <c r="B320" s="527" t="s">
        <v>1165</v>
      </c>
      <c r="C320" s="547" t="s">
        <v>97</v>
      </c>
      <c r="D320" s="7" t="s">
        <v>139</v>
      </c>
      <c r="E320" s="529">
        <v>0</v>
      </c>
      <c r="F320" s="406" t="s">
        <v>1157</v>
      </c>
      <c r="G320" s="530" t="s">
        <v>1158</v>
      </c>
      <c r="H320" s="531"/>
      <c r="I320" s="532"/>
      <c r="J320" s="532"/>
      <c r="K320" s="532"/>
      <c r="L320" s="532"/>
      <c r="M320" s="533"/>
      <c r="N320" s="534" t="str">
        <f t="shared" si="7"/>
        <v/>
      </c>
      <c r="O320" s="535" t="str">
        <f t="shared" si="8"/>
        <v/>
      </c>
      <c r="P320" s="536"/>
    </row>
    <row r="321" spans="1:16" s="552" customFormat="1">
      <c r="A321" s="549" t="s">
        <v>39</v>
      </c>
      <c r="B321" s="550" t="s">
        <v>1165</v>
      </c>
      <c r="C321" s="548" t="s">
        <v>93</v>
      </c>
      <c r="D321" s="161" t="s">
        <v>139</v>
      </c>
      <c r="E321" s="529">
        <v>0</v>
      </c>
      <c r="F321" s="406" t="s">
        <v>1157</v>
      </c>
      <c r="G321" s="77" t="s">
        <v>1158</v>
      </c>
      <c r="H321" s="531"/>
      <c r="I321" s="532"/>
      <c r="J321" s="532"/>
      <c r="K321" s="532"/>
      <c r="L321" s="532"/>
      <c r="M321" s="533"/>
      <c r="N321" s="534" t="str">
        <f t="shared" si="7"/>
        <v/>
      </c>
      <c r="O321" s="535" t="str">
        <f t="shared" si="8"/>
        <v/>
      </c>
      <c r="P321" s="551"/>
    </row>
    <row r="323" spans="1:16">
      <c r="A323" s="6" t="s">
        <v>39</v>
      </c>
      <c r="B323" s="527" t="s">
        <v>1156</v>
      </c>
      <c r="C323" s="6" t="s">
        <v>98</v>
      </c>
      <c r="D323" s="6">
        <v>0</v>
      </c>
      <c r="E323" s="553">
        <f>D323/$D$332</f>
        <v>0</v>
      </c>
      <c r="F323" s="34" t="s">
        <v>237</v>
      </c>
      <c r="G323" s="553">
        <f>E330</f>
        <v>0.36860068259385664</v>
      </c>
    </row>
    <row r="324" spans="1:16">
      <c r="A324" s="6" t="s">
        <v>39</v>
      </c>
      <c r="B324" s="527" t="s">
        <v>1159</v>
      </c>
      <c r="C324" s="6" t="s">
        <v>98</v>
      </c>
      <c r="D324" s="6">
        <f>E283*C270</f>
        <v>0.78</v>
      </c>
      <c r="E324" s="553">
        <f t="shared" ref="E324:E331" si="9">D324/$D$332</f>
        <v>1.3310580204778157E-2</v>
      </c>
      <c r="F324" s="34" t="s">
        <v>236</v>
      </c>
      <c r="G324" s="553">
        <f>E331</f>
        <v>0</v>
      </c>
    </row>
    <row r="325" spans="1:16">
      <c r="A325" s="6" t="s">
        <v>39</v>
      </c>
      <c r="B325" s="527" t="s">
        <v>1160</v>
      </c>
      <c r="C325" s="6" t="s">
        <v>98</v>
      </c>
      <c r="D325" s="6">
        <v>0</v>
      </c>
      <c r="E325" s="553">
        <f t="shared" si="9"/>
        <v>0</v>
      </c>
      <c r="F325" s="34" t="s">
        <v>203</v>
      </c>
      <c r="G325" s="553">
        <f>E328</f>
        <v>0.20723549488054607</v>
      </c>
    </row>
    <row r="326" spans="1:16">
      <c r="A326" s="6" t="s">
        <v>39</v>
      </c>
      <c r="B326" s="527" t="s">
        <v>1161</v>
      </c>
      <c r="C326" s="6" t="s">
        <v>98</v>
      </c>
      <c r="D326" s="6">
        <f>E293*C270</f>
        <v>7.3579999999999997</v>
      </c>
      <c r="E326" s="553">
        <f t="shared" si="9"/>
        <v>0.12556313993174059</v>
      </c>
      <c r="F326" s="34" t="s">
        <v>235</v>
      </c>
      <c r="G326" s="553">
        <f>E329</f>
        <v>0</v>
      </c>
    </row>
    <row r="327" spans="1:16">
      <c r="A327" s="6" t="s">
        <v>39</v>
      </c>
      <c r="B327" s="527" t="s">
        <v>1162</v>
      </c>
      <c r="C327" s="6" t="s">
        <v>98</v>
      </c>
      <c r="D327" s="6">
        <f>E298*C270</f>
        <v>16.718</v>
      </c>
      <c r="E327" s="553">
        <f t="shared" si="9"/>
        <v>0.28529010238907848</v>
      </c>
      <c r="F327" s="34" t="s">
        <v>202</v>
      </c>
      <c r="G327" s="553">
        <f>E327</f>
        <v>0.28529010238907848</v>
      </c>
    </row>
    <row r="328" spans="1:16">
      <c r="A328" s="6" t="s">
        <v>39</v>
      </c>
      <c r="B328" s="527" t="s">
        <v>1071</v>
      </c>
      <c r="C328" s="6" t="s">
        <v>98</v>
      </c>
      <c r="D328" s="6">
        <f>E303*C270+E306*C273</f>
        <v>12.144</v>
      </c>
      <c r="E328" s="553">
        <f t="shared" si="9"/>
        <v>0.20723549488054607</v>
      </c>
      <c r="F328" s="34" t="s">
        <v>201</v>
      </c>
      <c r="G328" s="6">
        <v>0</v>
      </c>
    </row>
    <row r="329" spans="1:16">
      <c r="A329" s="6" t="s">
        <v>39</v>
      </c>
      <c r="B329" s="527" t="s">
        <v>1163</v>
      </c>
      <c r="C329" s="6" t="s">
        <v>98</v>
      </c>
      <c r="D329" s="6">
        <v>0</v>
      </c>
      <c r="E329" s="553">
        <f t="shared" si="9"/>
        <v>0</v>
      </c>
      <c r="F329" s="34" t="s">
        <v>200</v>
      </c>
      <c r="G329" s="553">
        <f>E326</f>
        <v>0.12556313993174059</v>
      </c>
    </row>
    <row r="330" spans="1:16">
      <c r="A330" s="6" t="s">
        <v>39</v>
      </c>
      <c r="B330" s="527" t="s">
        <v>1164</v>
      </c>
      <c r="C330" s="6" t="s">
        <v>98</v>
      </c>
      <c r="D330" s="6">
        <f>E312*C269+E314*C271+E316*C273</f>
        <v>21.6</v>
      </c>
      <c r="E330" s="553">
        <f t="shared" si="9"/>
        <v>0.36860068259385664</v>
      </c>
      <c r="F330" s="34" t="s">
        <v>183</v>
      </c>
      <c r="G330" s="553">
        <f>E325</f>
        <v>0</v>
      </c>
    </row>
    <row r="331" spans="1:16">
      <c r="A331" s="6" t="s">
        <v>39</v>
      </c>
      <c r="B331" s="527" t="s">
        <v>1165</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Z21:AC21"/>
    <mergeCell ref="AK21:AN21"/>
    <mergeCell ref="Z61:AC61"/>
    <mergeCell ref="AK61:AN61"/>
    <mergeCell ref="Z62:AC62"/>
    <mergeCell ref="AK62:AN62"/>
    <mergeCell ref="Z18:AC18"/>
    <mergeCell ref="AK18:AN18"/>
    <mergeCell ref="Z19:AC19"/>
    <mergeCell ref="AK19:AN19"/>
    <mergeCell ref="Z20:AC20"/>
    <mergeCell ref="AK20:AN20"/>
    <mergeCell ref="Z15:AC15"/>
    <mergeCell ref="AK15:AN15"/>
    <mergeCell ref="Z16:AC16"/>
    <mergeCell ref="AK16:AN16"/>
    <mergeCell ref="Z17:AC17"/>
    <mergeCell ref="AK17:AN17"/>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A1:R1"/>
    <mergeCell ref="A2:A3"/>
    <mergeCell ref="B2:B3"/>
    <mergeCell ref="C2:C3"/>
    <mergeCell ref="G2:G3"/>
    <mergeCell ref="D2:D3"/>
    <mergeCell ref="H2:H3"/>
    <mergeCell ref="I2:O3"/>
    <mergeCell ref="I4:O4"/>
    <mergeCell ref="I5:O5"/>
    <mergeCell ref="I6:O6"/>
    <mergeCell ref="I7:O7"/>
    <mergeCell ref="I8:O8"/>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F20:I20"/>
    <mergeCell ref="F21:I21"/>
    <mergeCell ref="F24:I24"/>
    <mergeCell ref="F25:I25"/>
    <mergeCell ref="F23:I23"/>
    <mergeCell ref="A133:P134"/>
    <mergeCell ref="F38:I38"/>
    <mergeCell ref="F39:I39"/>
    <mergeCell ref="F40:I40"/>
    <mergeCell ref="F33:I33"/>
    <mergeCell ref="F34:I34"/>
    <mergeCell ref="F35:I35"/>
    <mergeCell ref="F36:I36"/>
    <mergeCell ref="F37:I37"/>
  </mergeCells>
  <conditionalFormatting sqref="H45:M54">
    <cfRule type="cellIs" dxfId="56"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dataBar" priority="40">
      <dataBar>
        <cfvo type="min"/>
        <cfvo type="num" val="4"/>
        <color rgb="FFFFC000"/>
      </dataBar>
      <extLst>
        <ext xmlns:x14="http://schemas.microsoft.com/office/spreadsheetml/2009/9/main" uri="{B025F937-C7B1-47D3-B67F-A62EFF666E3E}">
          <x14:id>{A2B31512-0BB9-4CEF-9AF8-3DEA76556831}</x14:id>
        </ext>
      </extLst>
    </cfRule>
    <cfRule type="cellIs" dxfId="55" priority="38" stopIfTrue="1" operator="notBetween">
      <formula>1</formula>
      <formula>4</formula>
    </cfRule>
  </conditionalFormatting>
  <conditionalFormatting sqref="H67:M76">
    <cfRule type="dataBar" priority="35">
      <dataBar>
        <cfvo type="min"/>
        <cfvo type="num" val="4"/>
        <color rgb="FFFFC000"/>
      </dataBar>
      <extLst>
        <ext xmlns:x14="http://schemas.microsoft.com/office/spreadsheetml/2009/9/main" uri="{B025F937-C7B1-47D3-B67F-A62EFF666E3E}">
          <x14:id>{18108CB0-7D47-4682-A141-FB0E6AF5ECFB}</x14:id>
        </ext>
      </extLst>
    </cfRule>
    <cfRule type="cellIs" dxfId="54" priority="33" stopIfTrue="1" operator="notBetween">
      <formula>1</formula>
      <formula>4</formula>
    </cfRule>
  </conditionalFormatting>
  <conditionalFormatting sqref="H78:M87">
    <cfRule type="dataBar" priority="30">
      <dataBar>
        <cfvo type="min"/>
        <cfvo type="num" val="4"/>
        <color rgb="FFFFC000"/>
      </dataBar>
      <extLst>
        <ext xmlns:x14="http://schemas.microsoft.com/office/spreadsheetml/2009/9/main" uri="{B025F937-C7B1-47D3-B67F-A62EFF666E3E}">
          <x14:id>{99BE0726-BC4C-480E-A9E9-21FB9F00D5AE}</x14:id>
        </ext>
      </extLst>
    </cfRule>
    <cfRule type="cellIs" dxfId="53" priority="28" stopIfTrue="1" operator="notBetween">
      <formula>1</formula>
      <formula>4</formula>
    </cfRule>
  </conditionalFormatting>
  <conditionalFormatting sqref="H89:M98">
    <cfRule type="cellIs" dxfId="52"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1"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dataBar" priority="15">
      <dataBar>
        <cfvo type="min"/>
        <cfvo type="num" val="4"/>
        <color rgb="FFFFC000"/>
      </dataBar>
      <extLst>
        <ext xmlns:x14="http://schemas.microsoft.com/office/spreadsheetml/2009/9/main" uri="{B025F937-C7B1-47D3-B67F-A62EFF666E3E}">
          <x14:id>{DAADFCB8-4AEA-492A-831B-7747BF895993}</x14:id>
        </ext>
      </extLst>
    </cfRule>
    <cfRule type="cellIs" dxfId="50" priority="13" stopIfTrue="1" operator="notBetween">
      <formula>1</formula>
      <formula>4</formula>
    </cfRule>
  </conditionalFormatting>
  <conditionalFormatting sqref="H122:M132">
    <cfRule type="cellIs" dxfId="49"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8" priority="42">
      <formula>LEN(TRIM(H45))=0</formula>
    </cfRule>
  </conditionalFormatting>
  <conditionalFormatting sqref="H56:N65">
    <cfRule type="containsBlanks" dxfId="47" priority="37">
      <formula>LEN(TRIM(H56))=0</formula>
    </cfRule>
  </conditionalFormatting>
  <conditionalFormatting sqref="H67:N76">
    <cfRule type="containsBlanks" dxfId="46" priority="32">
      <formula>LEN(TRIM(H67))=0</formula>
    </cfRule>
  </conditionalFormatting>
  <conditionalFormatting sqref="H78:N87">
    <cfRule type="containsBlanks" dxfId="45" priority="27">
      <formula>LEN(TRIM(H78))=0</formula>
    </cfRule>
  </conditionalFormatting>
  <conditionalFormatting sqref="H89:N98">
    <cfRule type="containsBlanks" dxfId="44" priority="22">
      <formula>LEN(TRIM(H89))=0</formula>
    </cfRule>
  </conditionalFormatting>
  <conditionalFormatting sqref="H100:N109">
    <cfRule type="containsBlanks" dxfId="43" priority="17">
      <formula>LEN(TRIM(H100))=0</formula>
    </cfRule>
  </conditionalFormatting>
  <conditionalFormatting sqref="H111:N120">
    <cfRule type="containsBlanks" dxfId="42" priority="12">
      <formula>LEN(TRIM(H111))=0</formula>
    </cfRule>
  </conditionalFormatting>
  <conditionalFormatting sqref="H122:N132">
    <cfRule type="containsBlanks" dxfId="41"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40"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9" priority="44" operator="containsText" text="Actual TC">
      <formula>NOT(ISERROR(SEARCH("Actual TC",O45)))</formula>
    </cfRule>
  </conditionalFormatting>
  <conditionalFormatting sqref="O56:O65">
    <cfRule type="containsText" dxfId="38" priority="39" operator="containsText" text="Actual TC">
      <formula>NOT(ISERROR(SEARCH("Actual TC",O56)))</formula>
    </cfRule>
  </conditionalFormatting>
  <conditionalFormatting sqref="O67:O76">
    <cfRule type="containsText" dxfId="37" priority="34" operator="containsText" text="Actual TC">
      <formula>NOT(ISERROR(SEARCH("Actual TC",O67)))</formula>
    </cfRule>
  </conditionalFormatting>
  <conditionalFormatting sqref="O78:O87">
    <cfRule type="containsText" dxfId="36" priority="29" operator="containsText" text="Actual TC">
      <formula>NOT(ISERROR(SEARCH("Actual TC",O78)))</formula>
    </cfRule>
  </conditionalFormatting>
  <conditionalFormatting sqref="O89:O98">
    <cfRule type="containsText" dxfId="35" priority="24" operator="containsText" text="Actual TC">
      <formula>NOT(ISERROR(SEARCH("Actual TC",O89)))</formula>
    </cfRule>
  </conditionalFormatting>
  <conditionalFormatting sqref="O100:O109">
    <cfRule type="containsText" dxfId="34" priority="19" operator="containsText" text="Actual TC">
      <formula>NOT(ISERROR(SEARCH("Actual TC",O100)))</formula>
    </cfRule>
  </conditionalFormatting>
  <conditionalFormatting sqref="O111:O120">
    <cfRule type="containsText" dxfId="33" priority="14" operator="containsText" text="Actual TC">
      <formula>NOT(ISERROR(SEARCH("Actual TC",O111)))</formula>
    </cfRule>
  </conditionalFormatting>
  <conditionalFormatting sqref="O122:O132">
    <cfRule type="containsText" dxfId="32"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C11" sqref="C11"/>
    </sheetView>
  </sheetViews>
  <sheetFormatPr defaultRowHeight="14.4"/>
  <cols>
    <col min="1" max="1" width="38.109375" bestFit="1" customWidth="1"/>
    <col min="2" max="2" width="27.33203125" bestFit="1" customWidth="1"/>
    <col min="5" max="5" width="11.6640625" customWidth="1"/>
    <col min="7" max="7" width="69.5546875" bestFit="1" customWidth="1"/>
  </cols>
  <sheetData>
    <row r="1" spans="1:15">
      <c r="A1" s="473" t="s">
        <v>2002</v>
      </c>
      <c r="B1" s="667" t="s">
        <v>2003</v>
      </c>
      <c r="C1" s="472"/>
      <c r="D1" s="472"/>
      <c r="E1" s="472"/>
      <c r="F1" s="472"/>
      <c r="G1" s="472"/>
      <c r="H1" s="472"/>
      <c r="I1" s="472"/>
      <c r="J1" s="472"/>
      <c r="K1" s="472"/>
      <c r="L1" s="472"/>
      <c r="M1" s="472"/>
      <c r="N1" s="472"/>
      <c r="O1" s="472"/>
    </row>
    <row r="3" spans="1:15" ht="15" thickBot="1">
      <c r="A3" s="224" t="s">
        <v>1172</v>
      </c>
      <c r="B3" s="9" t="s">
        <v>1166</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1172</v>
      </c>
      <c r="B4" s="9" t="s">
        <v>1166</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1172</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1172</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 thickBot="1">
      <c r="A8" s="599" t="s">
        <v>413</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413</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413</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413</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413</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413</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 thickBot="1">
      <c r="A15" s="9" t="s">
        <v>283</v>
      </c>
      <c r="B15" s="122" t="s">
        <v>1166</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1166</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1991</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521</v>
      </c>
    </row>
    <row r="21" spans="1:16">
      <c r="A21" s="9" t="s">
        <v>109</v>
      </c>
      <c r="B21" s="9" t="s">
        <v>261</v>
      </c>
      <c r="C21" s="9" t="s">
        <v>139</v>
      </c>
      <c r="D21" s="9" t="s">
        <v>139</v>
      </c>
      <c r="E21" s="769">
        <v>4.0000000000000002E-4</v>
      </c>
      <c r="F21" s="9">
        <v>2</v>
      </c>
      <c r="G21" s="186" t="s">
        <v>1991</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521</v>
      </c>
    </row>
    <row r="23" spans="1:16">
      <c r="A23" s="7" t="s">
        <v>2004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1" priority="52" stopIfTrue="1" operator="notBetween">
      <formula>1</formula>
      <formula>4</formula>
    </cfRule>
  </conditionalFormatting>
  <conditionalFormatting sqref="H8:M13">
    <cfRule type="cellIs" dxfId="30" priority="32" stopIfTrue="1" operator="notBetween">
      <formula>1</formula>
      <formula>4</formula>
    </cfRule>
  </conditionalFormatting>
  <conditionalFormatting sqref="H15:M18">
    <cfRule type="cellIs" dxfId="29"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28" priority="4" stopIfTrue="1" operator="notBetween">
      <formula>1</formula>
      <formula>4</formula>
    </cfRule>
  </conditionalFormatting>
  <conditionalFormatting sqref="H3:N6">
    <cfRule type="containsBlanks" dxfId="27" priority="49">
      <formula>LEN(TRIM(H3))=0</formula>
    </cfRule>
  </conditionalFormatting>
  <conditionalFormatting sqref="H8:N13">
    <cfRule type="containsBlanks" dxfId="26" priority="29">
      <formula>LEN(TRIM(H8))=0</formula>
    </cfRule>
  </conditionalFormatting>
  <conditionalFormatting sqref="H15:N18">
    <cfRule type="containsBlanks" dxfId="25" priority="9">
      <formula>LEN(TRIM(H15))=0</formula>
    </cfRule>
  </conditionalFormatting>
  <conditionalFormatting sqref="H20:O21">
    <cfRule type="containsBlanks" dxfId="24"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3"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4.4"/>
  <cols>
    <col min="1" max="1" width="80.6640625" style="6" customWidth="1"/>
    <col min="2" max="29" width="20.6640625" style="6" customWidth="1"/>
    <col min="30" max="32" width="20.6640625" customWidth="1"/>
  </cols>
  <sheetData>
    <row r="1" spans="1:32" s="6" customFormat="1" ht="30" customHeight="1">
      <c r="A1" s="1100" t="s">
        <v>1173</v>
      </c>
      <c r="B1" s="1100"/>
      <c r="C1" s="1100"/>
      <c r="D1" s="1100"/>
      <c r="E1" s="1100"/>
      <c r="F1" s="1100"/>
      <c r="G1" s="1100"/>
      <c r="H1" s="1100"/>
      <c r="I1" s="1100"/>
      <c r="J1" s="1100"/>
      <c r="K1" s="1100"/>
      <c r="L1" s="1100"/>
      <c r="M1" s="1100"/>
      <c r="N1" s="1100"/>
      <c r="O1" s="1100"/>
      <c r="P1" s="1100"/>
      <c r="Q1" s="1100"/>
      <c r="R1" s="1100"/>
      <c r="S1" s="1100"/>
    </row>
    <row r="2" spans="1:32" s="6" customFormat="1" ht="30" customHeight="1">
      <c r="A2" s="140" t="s">
        <v>1174</v>
      </c>
      <c r="B2" s="355" t="s">
        <v>101</v>
      </c>
      <c r="C2" s="355" t="s">
        <v>131</v>
      </c>
      <c r="D2" s="352" t="s">
        <v>1175</v>
      </c>
      <c r="E2" s="1215" t="s">
        <v>104</v>
      </c>
      <c r="F2" s="1216"/>
      <c r="G2" s="1216"/>
      <c r="H2" s="1216"/>
      <c r="I2" s="1216"/>
      <c r="J2" s="1217"/>
      <c r="K2" s="1210" t="s">
        <v>123</v>
      </c>
      <c r="L2" s="1210"/>
      <c r="M2" s="1210"/>
      <c r="N2" s="1210"/>
      <c r="O2" s="1210"/>
      <c r="P2" s="1210"/>
      <c r="Q2" s="1210"/>
      <c r="R2" s="1210"/>
      <c r="S2" s="1210"/>
      <c r="AD2"/>
      <c r="AE2"/>
      <c r="AF2"/>
    </row>
    <row r="3" spans="1:32">
      <c r="A3" s="9" t="s">
        <v>1176</v>
      </c>
      <c r="B3" s="359">
        <v>2011</v>
      </c>
      <c r="C3" s="357" t="s">
        <v>180</v>
      </c>
      <c r="D3" s="357">
        <v>1273</v>
      </c>
      <c r="E3" s="1212" t="s">
        <v>1177</v>
      </c>
      <c r="F3" s="1213"/>
      <c r="G3" s="1213"/>
      <c r="H3" s="1213"/>
      <c r="I3" s="1213"/>
      <c r="J3" s="1214"/>
      <c r="K3" s="1161" t="s">
        <v>1178</v>
      </c>
      <c r="L3" s="1161"/>
      <c r="M3" s="1161"/>
      <c r="N3" s="1161"/>
      <c r="O3" s="1161"/>
      <c r="P3" s="1161"/>
      <c r="Q3" s="1161"/>
      <c r="R3" s="1161"/>
      <c r="S3" s="1161"/>
    </row>
    <row r="4" spans="1:32">
      <c r="A4" s="9" t="s">
        <v>1179</v>
      </c>
      <c r="B4" s="357">
        <v>2011</v>
      </c>
      <c r="C4" s="357" t="s">
        <v>180</v>
      </c>
      <c r="D4" s="357">
        <v>308</v>
      </c>
      <c r="E4" s="1194" t="s">
        <v>1177</v>
      </c>
      <c r="F4" s="1194"/>
      <c r="G4" s="1194"/>
      <c r="H4" s="1194"/>
      <c r="I4" s="1194"/>
      <c r="J4" s="1194"/>
      <c r="K4" s="1161"/>
      <c r="L4" s="1161"/>
      <c r="M4" s="1161"/>
      <c r="N4" s="1161"/>
      <c r="O4" s="1161"/>
      <c r="P4" s="1161"/>
      <c r="Q4" s="1161"/>
      <c r="R4" s="1161"/>
      <c r="S4" s="1161"/>
    </row>
    <row r="5" spans="1:32">
      <c r="A5" s="356" t="s">
        <v>1180</v>
      </c>
      <c r="B5" s="357">
        <v>2011</v>
      </c>
      <c r="C5" s="357" t="s">
        <v>180</v>
      </c>
      <c r="D5" s="358">
        <f>SUM(D3:D4)</f>
        <v>1581</v>
      </c>
      <c r="E5" s="1162"/>
      <c r="F5" s="1211"/>
      <c r="G5" s="1211"/>
      <c r="H5" s="1211"/>
      <c r="I5" s="1211"/>
      <c r="J5" s="1163"/>
      <c r="K5" s="1161"/>
      <c r="L5" s="1161"/>
      <c r="M5" s="1161"/>
      <c r="N5" s="1161"/>
      <c r="O5" s="1161"/>
      <c r="P5" s="1161"/>
      <c r="Q5" s="1161"/>
      <c r="R5" s="1161"/>
      <c r="S5" s="1161"/>
    </row>
    <row r="6" spans="1:32">
      <c r="A6" s="7"/>
      <c r="B6" s="7"/>
      <c r="C6" s="7"/>
      <c r="D6" s="7"/>
      <c r="E6" s="7"/>
      <c r="F6" s="354"/>
      <c r="G6" s="354"/>
      <c r="H6" s="354"/>
      <c r="I6" s="354"/>
      <c r="J6" s="354"/>
      <c r="K6" s="1"/>
    </row>
    <row r="7" spans="1:32" s="6" customFormat="1" ht="30" customHeight="1">
      <c r="A7" s="1100" t="s">
        <v>1181</v>
      </c>
      <c r="B7" s="1100"/>
      <c r="C7" s="1100"/>
      <c r="D7" s="1100"/>
      <c r="E7" s="1100"/>
      <c r="F7" s="1100"/>
      <c r="G7" s="1100"/>
      <c r="H7" s="1100"/>
      <c r="I7" s="1100"/>
      <c r="J7" s="1100"/>
      <c r="K7" s="1100"/>
      <c r="L7" s="1100"/>
      <c r="M7" s="1100"/>
      <c r="N7" s="1100"/>
      <c r="O7" s="1100"/>
      <c r="P7" s="1100"/>
      <c r="Q7" s="1100"/>
      <c r="R7" s="1100"/>
      <c r="S7" s="1100"/>
    </row>
    <row r="8" spans="1:32" s="6" customFormat="1" ht="30" customHeight="1">
      <c r="A8" s="140" t="s">
        <v>1182</v>
      </c>
      <c r="B8" s="355" t="s">
        <v>131</v>
      </c>
      <c r="C8" s="355" t="s">
        <v>1183</v>
      </c>
      <c r="D8" s="352" t="s">
        <v>1184</v>
      </c>
      <c r="E8" s="1210" t="s">
        <v>104</v>
      </c>
      <c r="F8" s="1210"/>
      <c r="G8" s="1210"/>
      <c r="H8" s="1210"/>
      <c r="I8" s="1210"/>
      <c r="J8" s="1210"/>
      <c r="K8" s="1210" t="s">
        <v>123</v>
      </c>
      <c r="L8" s="1210"/>
      <c r="M8" s="1210"/>
      <c r="N8" s="1210"/>
      <c r="O8" s="1210"/>
      <c r="P8" s="1210"/>
      <c r="Q8" s="1210"/>
      <c r="R8" s="1210"/>
      <c r="S8" s="1210"/>
      <c r="AD8"/>
      <c r="AE8"/>
      <c r="AF8"/>
    </row>
    <row r="9" spans="1:32">
      <c r="A9" s="9" t="s">
        <v>167</v>
      </c>
      <c r="B9" s="357" t="s">
        <v>180</v>
      </c>
      <c r="C9" s="357" t="s">
        <v>1185</v>
      </c>
      <c r="D9" s="357">
        <v>0.01</v>
      </c>
      <c r="E9" s="1194" t="s">
        <v>1186</v>
      </c>
      <c r="F9" s="1194"/>
      <c r="G9" s="1194"/>
      <c r="H9" s="1194"/>
      <c r="I9" s="1194"/>
      <c r="J9" s="1194"/>
      <c r="K9" s="1161" t="s">
        <v>1187</v>
      </c>
      <c r="L9" s="1161"/>
      <c r="M9" s="1161"/>
      <c r="N9" s="1161"/>
      <c r="O9" s="1161"/>
      <c r="P9" s="1161"/>
      <c r="Q9" s="1161"/>
      <c r="R9" s="1161"/>
      <c r="S9" s="1161"/>
    </row>
    <row r="10" spans="1:32">
      <c r="A10" s="7"/>
      <c r="B10" s="7"/>
      <c r="C10" s="7"/>
      <c r="D10" s="7"/>
      <c r="E10" s="7"/>
      <c r="F10" s="354"/>
      <c r="G10" s="354"/>
      <c r="H10" s="354"/>
      <c r="I10" s="354"/>
    </row>
    <row r="11" spans="1:32" s="6" customFormat="1" ht="30" customHeight="1">
      <c r="A11" s="1100" t="s">
        <v>1188</v>
      </c>
      <c r="B11" s="1100"/>
      <c r="C11" s="1100"/>
      <c r="D11" s="1100"/>
      <c r="E11" s="1100"/>
      <c r="F11" s="1100"/>
      <c r="G11" s="1100"/>
      <c r="H11" s="1100"/>
      <c r="I11" s="1100"/>
      <c r="J11" s="1100"/>
      <c r="K11" s="1100"/>
      <c r="L11" s="1100"/>
      <c r="M11" s="1100"/>
      <c r="N11" s="1100"/>
      <c r="O11" s="1100"/>
      <c r="P11" s="1100"/>
      <c r="Q11" s="1100"/>
      <c r="R11" s="1100"/>
      <c r="S11" s="1100"/>
    </row>
    <row r="12" spans="1:32" s="6" customFormat="1" ht="30" customHeight="1">
      <c r="A12" s="140" t="s">
        <v>1182</v>
      </c>
      <c r="B12" s="355" t="s">
        <v>101</v>
      </c>
      <c r="C12" s="355" t="s">
        <v>131</v>
      </c>
      <c r="D12" s="355" t="s">
        <v>102</v>
      </c>
      <c r="E12" s="353" t="s">
        <v>1189</v>
      </c>
      <c r="AD12"/>
      <c r="AE12"/>
      <c r="AF12"/>
    </row>
    <row r="13" spans="1:32">
      <c r="A13" s="9" t="s">
        <v>167</v>
      </c>
      <c r="B13" s="357">
        <v>2011</v>
      </c>
      <c r="C13" s="357" t="s">
        <v>180</v>
      </c>
      <c r="D13" s="357" t="s">
        <v>1185</v>
      </c>
      <c r="E13" s="357">
        <f>D9*D5</f>
        <v>15.81</v>
      </c>
    </row>
    <row r="14" spans="1:32">
      <c r="A14" s="7"/>
      <c r="B14" s="7"/>
      <c r="C14" s="7"/>
      <c r="D14" s="7"/>
      <c r="E14" s="7"/>
      <c r="F14" s="354"/>
      <c r="G14" s="354"/>
      <c r="H14" s="354"/>
      <c r="I14" s="354"/>
      <c r="J14" s="354"/>
      <c r="K14" s="1"/>
    </row>
    <row r="15" spans="1:32" s="6" customFormat="1" ht="30" customHeight="1">
      <c r="A15" s="1100" t="s">
        <v>1190</v>
      </c>
      <c r="B15" s="1100"/>
      <c r="C15" s="1100"/>
      <c r="D15" s="1100"/>
      <c r="E15" s="1100"/>
      <c r="F15" s="1100"/>
      <c r="G15" s="1100"/>
      <c r="H15" s="1100"/>
      <c r="I15" s="1100"/>
      <c r="J15" s="1100"/>
      <c r="K15" s="1100"/>
      <c r="L15" s="1100"/>
      <c r="M15" s="1100"/>
      <c r="N15" s="1100"/>
      <c r="O15" s="1100"/>
      <c r="P15" s="1100"/>
      <c r="Q15" s="1100"/>
      <c r="R15" s="1100"/>
      <c r="S15" s="1100"/>
    </row>
    <row r="16" spans="1:32" s="6" customFormat="1" ht="30" customHeight="1">
      <c r="A16" s="361" t="s">
        <v>130</v>
      </c>
      <c r="B16" s="355" t="s">
        <v>101</v>
      </c>
      <c r="C16" s="355" t="s">
        <v>131</v>
      </c>
      <c r="D16" s="355" t="s">
        <v>102</v>
      </c>
      <c r="E16" s="363" t="s">
        <v>1191</v>
      </c>
      <c r="F16" s="365" t="s">
        <v>1192</v>
      </c>
      <c r="G16"/>
      <c r="H16"/>
      <c r="I16"/>
      <c r="J16"/>
      <c r="K16"/>
      <c r="L16"/>
      <c r="M16"/>
      <c r="N16"/>
      <c r="O16"/>
    </row>
    <row r="17" spans="1:19">
      <c r="A17" s="9" t="s">
        <v>200</v>
      </c>
      <c r="B17" s="357">
        <v>2011</v>
      </c>
      <c r="C17" s="357" t="s">
        <v>180</v>
      </c>
      <c r="D17" s="359" t="s">
        <v>1185</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1185</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1185</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1185</v>
      </c>
      <c r="E20" s="405">
        <f>7.458106+2.583978+37.90516+37.47286+12.81939+4.606734</f>
        <v>102.846228</v>
      </c>
      <c r="F20" s="405">
        <f>7.458106+2.583978+37.90516+37.47286+12.81939+4.606734</f>
        <v>102.846228</v>
      </c>
      <c r="G20"/>
      <c r="H20"/>
      <c r="I20"/>
      <c r="J20"/>
      <c r="K20"/>
      <c r="L20"/>
      <c r="M20"/>
      <c r="N20"/>
      <c r="O20"/>
    </row>
    <row r="21" spans="1:19">
      <c r="A21" s="9" t="s">
        <v>1047</v>
      </c>
      <c r="B21" s="357">
        <v>2011</v>
      </c>
      <c r="C21" s="357" t="s">
        <v>180</v>
      </c>
      <c r="D21" s="359" t="s">
        <v>1185</v>
      </c>
      <c r="E21" s="405">
        <f>54.34226+3.146061</f>
        <v>57.488321000000006</v>
      </c>
      <c r="F21" s="405">
        <f>54.34226+3.146061</f>
        <v>57.488321000000006</v>
      </c>
      <c r="G21"/>
      <c r="H21"/>
      <c r="I21"/>
      <c r="J21"/>
      <c r="K21"/>
      <c r="L21"/>
      <c r="M21"/>
      <c r="N21"/>
      <c r="O21"/>
    </row>
    <row r="22" spans="1:19">
      <c r="A22" s="9" t="s">
        <v>142</v>
      </c>
      <c r="B22" s="357">
        <v>2011</v>
      </c>
      <c r="C22" s="357" t="s">
        <v>180</v>
      </c>
      <c r="D22" s="359" t="s">
        <v>1185</v>
      </c>
      <c r="E22" s="438">
        <f>5.880256+2.755094</f>
        <v>8.6353500000000007</v>
      </c>
      <c r="F22" s="438">
        <f>5.880256+2.755094</f>
        <v>8.6353500000000007</v>
      </c>
      <c r="G22"/>
      <c r="H22"/>
      <c r="I22"/>
      <c r="J22"/>
      <c r="K22"/>
      <c r="L22"/>
      <c r="M22"/>
      <c r="N22"/>
      <c r="O22"/>
    </row>
    <row r="23" spans="1:19">
      <c r="A23" s="9" t="s">
        <v>138</v>
      </c>
      <c r="B23" s="357">
        <v>2011</v>
      </c>
      <c r="C23" s="357" t="s">
        <v>180</v>
      </c>
      <c r="D23" s="359" t="s">
        <v>1185</v>
      </c>
      <c r="E23" s="405">
        <f>1.110288</f>
        <v>1.1102879999999999</v>
      </c>
      <c r="F23" s="405">
        <f>1.110288</f>
        <v>1.1102879999999999</v>
      </c>
      <c r="G23"/>
      <c r="H23"/>
      <c r="I23"/>
      <c r="J23"/>
      <c r="K23"/>
      <c r="L23"/>
      <c r="M23"/>
      <c r="N23"/>
      <c r="O23"/>
    </row>
    <row r="24" spans="1:19">
      <c r="A24" s="9" t="s">
        <v>1049</v>
      </c>
      <c r="B24" s="357">
        <v>2011</v>
      </c>
      <c r="C24" s="357" t="s">
        <v>180</v>
      </c>
      <c r="D24" s="359" t="s">
        <v>1185</v>
      </c>
      <c r="E24" s="405">
        <f>0.652716+15.11199+4.053189</f>
        <v>19.817895</v>
      </c>
      <c r="F24" s="405">
        <f>0.652716+15.11199+4.053189</f>
        <v>19.817895</v>
      </c>
      <c r="G24"/>
      <c r="H24"/>
      <c r="I24"/>
      <c r="J24"/>
      <c r="K24"/>
      <c r="L24"/>
      <c r="M24"/>
      <c r="N24"/>
      <c r="O24"/>
    </row>
    <row r="25" spans="1:19">
      <c r="A25" s="9" t="s">
        <v>963</v>
      </c>
      <c r="B25" s="357">
        <v>2011</v>
      </c>
      <c r="C25" s="357" t="s">
        <v>180</v>
      </c>
      <c r="D25" s="359" t="s">
        <v>1185</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1185</v>
      </c>
      <c r="E26" s="405">
        <f>10.5957+9.646484+9.932176</f>
        <v>30.17436</v>
      </c>
      <c r="F26" s="405">
        <f>10.5957+9.646484+9.932176</f>
        <v>30.17436</v>
      </c>
      <c r="G26"/>
      <c r="H26"/>
      <c r="I26"/>
      <c r="J26"/>
      <c r="K26"/>
      <c r="L26"/>
      <c r="M26"/>
      <c r="N26"/>
      <c r="O26"/>
    </row>
    <row r="27" spans="1:19">
      <c r="A27" s="356" t="s">
        <v>1180</v>
      </c>
      <c r="B27" s="357">
        <v>2012</v>
      </c>
      <c r="C27" s="357" t="s">
        <v>180</v>
      </c>
      <c r="D27" s="359" t="s">
        <v>1185</v>
      </c>
      <c r="E27" s="493">
        <f>SUM(E17:E26)</f>
        <v>411.88579500000003</v>
      </c>
      <c r="F27" s="493">
        <f>SUM(F17:F26)</f>
        <v>411.88579500000003</v>
      </c>
      <c r="G27"/>
      <c r="H27"/>
      <c r="I27"/>
      <c r="J27"/>
      <c r="K27"/>
      <c r="L27"/>
      <c r="M27"/>
      <c r="N27"/>
      <c r="O27"/>
    </row>
    <row r="29" spans="1:19" s="6" customFormat="1" ht="30" customHeight="1">
      <c r="A29" s="1100" t="s">
        <v>1193</v>
      </c>
      <c r="B29" s="1100"/>
      <c r="C29" s="1100"/>
      <c r="D29" s="1100"/>
      <c r="E29" s="1100"/>
      <c r="F29" s="1100"/>
      <c r="G29" s="1100"/>
      <c r="H29" s="1100"/>
      <c r="I29" s="1100"/>
      <c r="J29" s="1100"/>
      <c r="K29" s="1100"/>
      <c r="L29" s="1100"/>
      <c r="M29" s="1100"/>
      <c r="N29" s="1100"/>
      <c r="O29" s="1100"/>
      <c r="P29" s="1100"/>
      <c r="Q29" s="1100"/>
      <c r="R29" s="1100"/>
      <c r="S29" s="1100"/>
    </row>
    <row r="30" spans="1:19" s="6" customFormat="1" ht="30" customHeight="1">
      <c r="A30" s="361" t="s">
        <v>130</v>
      </c>
      <c r="B30" s="355" t="s">
        <v>101</v>
      </c>
      <c r="C30" s="355" t="s">
        <v>131</v>
      </c>
      <c r="D30" s="355" t="s">
        <v>102</v>
      </c>
      <c r="E30" s="352" t="s">
        <v>1194</v>
      </c>
      <c r="F30"/>
      <c r="G30"/>
      <c r="H30"/>
      <c r="I30"/>
      <c r="J30"/>
      <c r="K30"/>
      <c r="L30"/>
      <c r="M30"/>
      <c r="N30"/>
      <c r="O30"/>
    </row>
    <row r="31" spans="1:19">
      <c r="A31" s="9" t="s">
        <v>200</v>
      </c>
      <c r="B31" s="357">
        <v>2011</v>
      </c>
      <c r="C31" s="357" t="s">
        <v>180</v>
      </c>
      <c r="D31" s="357" t="s">
        <v>1185</v>
      </c>
      <c r="E31" s="366">
        <f t="shared" ref="E31:E40" si="0">E17/$E$27</f>
        <v>0.14455526197498508</v>
      </c>
      <c r="F31"/>
      <c r="G31"/>
      <c r="H31"/>
      <c r="I31"/>
      <c r="J31"/>
      <c r="K31"/>
      <c r="L31"/>
      <c r="M31"/>
      <c r="N31"/>
      <c r="O31"/>
    </row>
    <row r="32" spans="1:19">
      <c r="A32" s="9" t="s">
        <v>202</v>
      </c>
      <c r="B32" s="357">
        <v>2011</v>
      </c>
      <c r="C32" s="357" t="s">
        <v>180</v>
      </c>
      <c r="D32" s="357" t="s">
        <v>1185</v>
      </c>
      <c r="E32" s="366">
        <f t="shared" si="0"/>
        <v>0.11656928348305869</v>
      </c>
      <c r="F32"/>
      <c r="G32"/>
      <c r="H32"/>
      <c r="I32"/>
      <c r="J32"/>
      <c r="K32"/>
      <c r="L32"/>
      <c r="M32"/>
      <c r="N32"/>
      <c r="O32"/>
    </row>
    <row r="33" spans="1:19">
      <c r="A33" s="9" t="s">
        <v>201</v>
      </c>
      <c r="B33" s="357">
        <v>2011</v>
      </c>
      <c r="C33" s="357" t="s">
        <v>180</v>
      </c>
      <c r="D33" s="357" t="s">
        <v>1185</v>
      </c>
      <c r="E33" s="366">
        <f t="shared" si="0"/>
        <v>0.16536072820865311</v>
      </c>
      <c r="F33"/>
      <c r="G33"/>
      <c r="H33"/>
      <c r="I33"/>
      <c r="J33"/>
      <c r="K33"/>
      <c r="L33"/>
      <c r="M33"/>
      <c r="N33"/>
      <c r="O33"/>
    </row>
    <row r="34" spans="1:19">
      <c r="A34" s="9" t="s">
        <v>203</v>
      </c>
      <c r="B34" s="357">
        <v>2011</v>
      </c>
      <c r="C34" s="357" t="s">
        <v>180</v>
      </c>
      <c r="D34" s="357" t="s">
        <v>1185</v>
      </c>
      <c r="E34" s="366">
        <f t="shared" si="0"/>
        <v>0.24969598186798356</v>
      </c>
      <c r="F34"/>
      <c r="G34"/>
      <c r="H34"/>
      <c r="I34"/>
      <c r="J34"/>
      <c r="K34"/>
      <c r="L34"/>
      <c r="M34"/>
      <c r="N34"/>
      <c r="O34"/>
    </row>
    <row r="35" spans="1:19">
      <c r="A35" s="9" t="s">
        <v>1047</v>
      </c>
      <c r="B35" s="357">
        <v>2011</v>
      </c>
      <c r="C35" s="357" t="s">
        <v>180</v>
      </c>
      <c r="D35" s="357" t="s">
        <v>1185</v>
      </c>
      <c r="E35" s="366">
        <f t="shared" si="0"/>
        <v>0.13957344899452043</v>
      </c>
      <c r="F35"/>
      <c r="G35"/>
      <c r="H35"/>
      <c r="I35"/>
      <c r="J35"/>
      <c r="K35"/>
      <c r="L35"/>
      <c r="M35"/>
      <c r="N35"/>
      <c r="O35"/>
    </row>
    <row r="36" spans="1:19">
      <c r="A36" s="9" t="s">
        <v>142</v>
      </c>
      <c r="B36" s="357">
        <v>2011</v>
      </c>
      <c r="C36" s="357" t="s">
        <v>180</v>
      </c>
      <c r="D36" s="357" t="s">
        <v>1185</v>
      </c>
      <c r="E36" s="366">
        <f t="shared" si="0"/>
        <v>2.096539891597864E-2</v>
      </c>
      <c r="F36"/>
      <c r="G36"/>
      <c r="H36"/>
      <c r="I36"/>
      <c r="J36"/>
      <c r="K36"/>
      <c r="L36"/>
      <c r="M36"/>
      <c r="N36"/>
      <c r="O36"/>
    </row>
    <row r="37" spans="1:19">
      <c r="A37" s="9" t="s">
        <v>138</v>
      </c>
      <c r="B37" s="357">
        <v>2011</v>
      </c>
      <c r="C37" s="357" t="s">
        <v>180</v>
      </c>
      <c r="D37" s="357" t="s">
        <v>1185</v>
      </c>
      <c r="E37" s="366">
        <f t="shared" si="0"/>
        <v>2.6956210033900292E-3</v>
      </c>
      <c r="F37"/>
      <c r="G37"/>
      <c r="H37"/>
      <c r="I37"/>
      <c r="J37"/>
      <c r="K37"/>
      <c r="L37"/>
      <c r="M37"/>
      <c r="N37"/>
      <c r="O37"/>
    </row>
    <row r="38" spans="1:19">
      <c r="A38" s="9" t="s">
        <v>1049</v>
      </c>
      <c r="B38" s="357">
        <v>2011</v>
      </c>
      <c r="C38" s="357" t="s">
        <v>180</v>
      </c>
      <c r="D38" s="357" t="s">
        <v>1185</v>
      </c>
      <c r="E38" s="366">
        <f t="shared" si="0"/>
        <v>4.8115024214418461E-2</v>
      </c>
      <c r="F38"/>
      <c r="G38"/>
      <c r="H38"/>
      <c r="I38"/>
      <c r="J38"/>
      <c r="K38"/>
      <c r="L38"/>
      <c r="M38"/>
      <c r="N38"/>
      <c r="O38"/>
    </row>
    <row r="39" spans="1:19">
      <c r="A39" s="9" t="s">
        <v>963</v>
      </c>
      <c r="B39" s="357">
        <v>2011</v>
      </c>
      <c r="C39" s="357" t="s">
        <v>180</v>
      </c>
      <c r="D39" s="357" t="s">
        <v>1185</v>
      </c>
      <c r="E39" s="366">
        <f t="shared" si="0"/>
        <v>3.9210206314592613E-2</v>
      </c>
      <c r="F39"/>
      <c r="G39"/>
      <c r="H39"/>
      <c r="I39"/>
      <c r="J39"/>
      <c r="K39"/>
      <c r="L39"/>
      <c r="M39"/>
      <c r="N39"/>
      <c r="O39"/>
    </row>
    <row r="40" spans="1:19">
      <c r="A40" s="9" t="s">
        <v>153</v>
      </c>
      <c r="B40" s="357">
        <v>2012</v>
      </c>
      <c r="C40" s="357" t="s">
        <v>180</v>
      </c>
      <c r="D40" s="357" t="s">
        <v>1185</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
      <c r="A42" s="1100" t="s">
        <v>1195</v>
      </c>
      <c r="B42" s="1100"/>
      <c r="C42" s="1100"/>
      <c r="D42" s="1100"/>
      <c r="E42" s="1100"/>
      <c r="F42" s="1100"/>
      <c r="G42" s="1100"/>
      <c r="H42" s="1100"/>
      <c r="I42" s="1100"/>
      <c r="J42" s="1100"/>
      <c r="K42" s="1100"/>
      <c r="L42" s="1100"/>
      <c r="M42" s="1100"/>
      <c r="N42" s="1100"/>
      <c r="O42" s="1100"/>
      <c r="P42" s="1100"/>
      <c r="Q42" s="1100"/>
      <c r="R42" s="1100"/>
      <c r="S42" s="1100"/>
    </row>
    <row r="43" spans="1:19">
      <c r="A43" s="140" t="s">
        <v>129</v>
      </c>
      <c r="B43" s="1097" t="s">
        <v>130</v>
      </c>
      <c r="C43" s="1098"/>
      <c r="D43" s="355" t="s">
        <v>131</v>
      </c>
      <c r="E43" s="352" t="s">
        <v>102</v>
      </c>
      <c r="F43" s="1209" t="s">
        <v>1196</v>
      </c>
      <c r="G43" s="1209"/>
      <c r="H43"/>
      <c r="I43"/>
      <c r="J43"/>
      <c r="K43"/>
      <c r="L43"/>
      <c r="M43"/>
      <c r="N43"/>
      <c r="O43"/>
    </row>
    <row r="44" spans="1:19">
      <c r="A44" s="9" t="s">
        <v>200</v>
      </c>
      <c r="B44" s="1161" t="s">
        <v>167</v>
      </c>
      <c r="C44" s="1161"/>
      <c r="D44" s="357" t="s">
        <v>180</v>
      </c>
      <c r="E44" s="360" t="s">
        <v>1185</v>
      </c>
      <c r="F44" s="1208">
        <f t="shared" ref="F44:F52" si="1">E31*$E$13</f>
        <v>2.2854186918245141</v>
      </c>
      <c r="G44" s="1208"/>
      <c r="H44"/>
      <c r="I44"/>
      <c r="J44"/>
      <c r="K44"/>
      <c r="L44"/>
      <c r="M44"/>
      <c r="N44"/>
      <c r="O44"/>
    </row>
    <row r="45" spans="1:19">
      <c r="A45" s="9" t="s">
        <v>202</v>
      </c>
      <c r="B45" s="1161" t="s">
        <v>167</v>
      </c>
      <c r="C45" s="1161"/>
      <c r="D45" s="357" t="s">
        <v>180</v>
      </c>
      <c r="E45" s="360" t="s">
        <v>1185</v>
      </c>
      <c r="F45" s="1208">
        <f t="shared" si="1"/>
        <v>1.8429603718671579</v>
      </c>
      <c r="G45" s="1208"/>
      <c r="H45"/>
      <c r="I45"/>
      <c r="J45"/>
      <c r="K45"/>
      <c r="L45"/>
      <c r="M45"/>
      <c r="N45"/>
      <c r="O45"/>
    </row>
    <row r="46" spans="1:19">
      <c r="A46" s="9" t="s">
        <v>201</v>
      </c>
      <c r="B46" s="1161" t="s">
        <v>167</v>
      </c>
      <c r="C46" s="1161"/>
      <c r="D46" s="357" t="s">
        <v>180</v>
      </c>
      <c r="E46" s="360" t="s">
        <v>1185</v>
      </c>
      <c r="F46" s="1208">
        <f t="shared" si="1"/>
        <v>2.6143531129788058</v>
      </c>
      <c r="G46" s="1208"/>
      <c r="H46"/>
      <c r="I46"/>
      <c r="J46"/>
      <c r="K46"/>
      <c r="L46"/>
      <c r="M46"/>
      <c r="N46"/>
      <c r="O46"/>
    </row>
    <row r="47" spans="1:19">
      <c r="A47" s="9" t="s">
        <v>203</v>
      </c>
      <c r="B47" s="1161" t="s">
        <v>167</v>
      </c>
      <c r="C47" s="1161"/>
      <c r="D47" s="357" t="s">
        <v>180</v>
      </c>
      <c r="E47" s="360" t="s">
        <v>1185</v>
      </c>
      <c r="F47" s="1208">
        <f t="shared" si="1"/>
        <v>3.9476934733328202</v>
      </c>
      <c r="G47" s="1208"/>
      <c r="H47"/>
      <c r="I47"/>
      <c r="J47"/>
      <c r="K47"/>
      <c r="L47"/>
      <c r="M47"/>
      <c r="N47"/>
      <c r="O47"/>
    </row>
    <row r="48" spans="1:19">
      <c r="A48" s="9" t="s">
        <v>1047</v>
      </c>
      <c r="B48" s="1161" t="s">
        <v>167</v>
      </c>
      <c r="C48" s="1161"/>
      <c r="D48" s="357" t="s">
        <v>180</v>
      </c>
      <c r="E48" s="360" t="s">
        <v>1185</v>
      </c>
      <c r="F48" s="1208">
        <f t="shared" si="1"/>
        <v>2.206656228603368</v>
      </c>
      <c r="G48" s="1208"/>
      <c r="H48"/>
      <c r="I48"/>
      <c r="J48"/>
      <c r="K48"/>
      <c r="L48"/>
      <c r="M48"/>
      <c r="N48"/>
      <c r="O48"/>
    </row>
    <row r="49" spans="1:32">
      <c r="A49" s="9" t="s">
        <v>142</v>
      </c>
      <c r="B49" s="1161" t="s">
        <v>167</v>
      </c>
      <c r="C49" s="1161"/>
      <c r="D49" s="357" t="s">
        <v>180</v>
      </c>
      <c r="E49" s="360" t="s">
        <v>1185</v>
      </c>
      <c r="F49" s="1208">
        <f t="shared" si="1"/>
        <v>0.3314629568616223</v>
      </c>
      <c r="G49" s="1208"/>
      <c r="H49"/>
      <c r="I49"/>
      <c r="J49"/>
      <c r="K49"/>
      <c r="L49"/>
      <c r="M49"/>
      <c r="N49"/>
      <c r="O49"/>
    </row>
    <row r="50" spans="1:32">
      <c r="A50" s="9" t="s">
        <v>138</v>
      </c>
      <c r="B50" s="1161" t="s">
        <v>167</v>
      </c>
      <c r="C50" s="1161"/>
      <c r="D50" s="357" t="s">
        <v>180</v>
      </c>
      <c r="E50" s="360" t="s">
        <v>1185</v>
      </c>
      <c r="F50" s="1208">
        <f t="shared" si="1"/>
        <v>4.2617768063596365E-2</v>
      </c>
      <c r="G50" s="1208"/>
      <c r="H50"/>
      <c r="I50"/>
      <c r="J50"/>
      <c r="K50"/>
      <c r="L50"/>
      <c r="M50"/>
      <c r="N50"/>
      <c r="O50"/>
    </row>
    <row r="51" spans="1:32">
      <c r="A51" s="9" t="s">
        <v>1049</v>
      </c>
      <c r="B51" s="1161" t="s">
        <v>167</v>
      </c>
      <c r="C51" s="1161"/>
      <c r="D51" s="357" t="s">
        <v>180</v>
      </c>
      <c r="E51" s="360" t="s">
        <v>1185</v>
      </c>
      <c r="F51" s="1208">
        <f t="shared" si="1"/>
        <v>0.76069853282995592</v>
      </c>
      <c r="G51" s="1208"/>
      <c r="H51"/>
      <c r="I51"/>
      <c r="J51"/>
      <c r="K51"/>
      <c r="L51"/>
      <c r="M51"/>
      <c r="N51"/>
      <c r="O51"/>
    </row>
    <row r="52" spans="1:32">
      <c r="A52" s="9" t="s">
        <v>963</v>
      </c>
      <c r="B52" s="1161" t="s">
        <v>167</v>
      </c>
      <c r="C52" s="1161"/>
      <c r="D52" s="357" t="s">
        <v>180</v>
      </c>
      <c r="E52" s="360" t="s">
        <v>1185</v>
      </c>
      <c r="F52" s="1208">
        <f t="shared" si="1"/>
        <v>0.61991336183370926</v>
      </c>
      <c r="G52" s="1208"/>
      <c r="H52"/>
      <c r="I52"/>
      <c r="J52"/>
      <c r="K52"/>
      <c r="L52"/>
      <c r="M52"/>
      <c r="N52"/>
      <c r="O52"/>
    </row>
    <row r="53" spans="1:32">
      <c r="A53" s="9" t="s">
        <v>153</v>
      </c>
      <c r="B53" s="1161" t="s">
        <v>167</v>
      </c>
      <c r="C53" s="1161"/>
      <c r="D53" s="357" t="s">
        <v>180</v>
      </c>
      <c r="E53" s="360" t="s">
        <v>1185</v>
      </c>
      <c r="F53" s="1208">
        <f t="shared" ref="F53" si="2">E40*$E$13</f>
        <v>1.1582255018044505</v>
      </c>
      <c r="G53" s="1208"/>
      <c r="H53"/>
      <c r="I53"/>
      <c r="J53"/>
      <c r="K53"/>
      <c r="L53"/>
      <c r="M53"/>
      <c r="N53"/>
      <c r="O53"/>
    </row>
    <row r="54" spans="1:32">
      <c r="A54"/>
      <c r="B54"/>
      <c r="C54"/>
      <c r="D54"/>
      <c r="E54"/>
      <c r="F54"/>
      <c r="G54"/>
      <c r="H54"/>
      <c r="I54"/>
      <c r="J54"/>
      <c r="K54"/>
      <c r="L54"/>
      <c r="M54"/>
      <c r="N54"/>
      <c r="O54"/>
    </row>
    <row r="55" spans="1:32" s="6" customFormat="1" ht="18">
      <c r="A55" s="1100" t="s">
        <v>15</v>
      </c>
      <c r="B55" s="1100"/>
      <c r="C55" s="1100"/>
      <c r="D55" s="1100"/>
      <c r="E55" s="1100"/>
      <c r="F55" s="1100"/>
      <c r="G55" s="1100"/>
      <c r="H55" s="1100"/>
      <c r="I55" s="1100"/>
      <c r="J55" s="1100"/>
      <c r="K55" s="1100"/>
      <c r="L55" s="1100"/>
      <c r="M55" s="1100"/>
      <c r="N55" s="1100"/>
      <c r="O55" s="1100"/>
      <c r="P55" s="1100"/>
      <c r="Q55" s="1100"/>
      <c r="R55" s="1100"/>
      <c r="S55" s="1100"/>
    </row>
    <row r="56" spans="1:32" s="6" customFormat="1">
      <c r="A56" s="140" t="s">
        <v>129</v>
      </c>
      <c r="B56" s="1097" t="s">
        <v>130</v>
      </c>
      <c r="C56" s="1098"/>
      <c r="D56" s="355" t="s">
        <v>131</v>
      </c>
      <c r="E56" s="352" t="s">
        <v>102</v>
      </c>
      <c r="F56" s="1209" t="s">
        <v>1197</v>
      </c>
      <c r="G56" s="1209"/>
      <c r="AD56"/>
      <c r="AE56"/>
      <c r="AF56"/>
    </row>
    <row r="57" spans="1:32">
      <c r="A57" s="9" t="s">
        <v>200</v>
      </c>
      <c r="B57" s="1161" t="s">
        <v>167</v>
      </c>
      <c r="C57" s="1161"/>
      <c r="D57" s="357" t="s">
        <v>180</v>
      </c>
      <c r="E57" s="360" t="s">
        <v>1185</v>
      </c>
      <c r="F57" s="1208">
        <f t="shared" ref="F57:F66" si="3">F44/F17</f>
        <v>3.8384426440343733E-2</v>
      </c>
      <c r="G57" s="1208"/>
    </row>
    <row r="58" spans="1:32">
      <c r="A58" s="9" t="s">
        <v>202</v>
      </c>
      <c r="B58" s="1161" t="s">
        <v>167</v>
      </c>
      <c r="C58" s="1161"/>
      <c r="D58" s="357" t="s">
        <v>180</v>
      </c>
      <c r="E58" s="360" t="s">
        <v>1185</v>
      </c>
      <c r="F58" s="1208">
        <f t="shared" si="3"/>
        <v>3.8384426440343733E-2</v>
      </c>
      <c r="G58" s="1208"/>
    </row>
    <row r="59" spans="1:32">
      <c r="A59" s="9" t="s">
        <v>201</v>
      </c>
      <c r="B59" s="1161" t="s">
        <v>167</v>
      </c>
      <c r="C59" s="1161"/>
      <c r="D59" s="357" t="s">
        <v>180</v>
      </c>
      <c r="E59" s="360" t="s">
        <v>1185</v>
      </c>
      <c r="F59" s="1208">
        <f t="shared" si="3"/>
        <v>3.838442644034374E-2</v>
      </c>
      <c r="G59" s="1208"/>
    </row>
    <row r="60" spans="1:32">
      <c r="A60" s="9" t="s">
        <v>203</v>
      </c>
      <c r="B60" s="1161" t="s">
        <v>167</v>
      </c>
      <c r="C60" s="1161"/>
      <c r="D60" s="357" t="s">
        <v>180</v>
      </c>
      <c r="E60" s="360" t="s">
        <v>1185</v>
      </c>
      <c r="F60" s="1208">
        <f t="shared" si="3"/>
        <v>3.8384426440343733E-2</v>
      </c>
      <c r="G60" s="1208"/>
    </row>
    <row r="61" spans="1:32">
      <c r="A61" s="9" t="s">
        <v>1047</v>
      </c>
      <c r="B61" s="1161" t="s">
        <v>167</v>
      </c>
      <c r="C61" s="1161"/>
      <c r="D61" s="357" t="s">
        <v>180</v>
      </c>
      <c r="E61" s="360" t="s">
        <v>1185</v>
      </c>
      <c r="F61" s="1208">
        <f t="shared" si="3"/>
        <v>3.8384426440343733E-2</v>
      </c>
      <c r="G61" s="1208"/>
    </row>
    <row r="62" spans="1:32">
      <c r="A62" s="9" t="s">
        <v>142</v>
      </c>
      <c r="B62" s="1161" t="s">
        <v>167</v>
      </c>
      <c r="C62" s="1161"/>
      <c r="D62" s="357" t="s">
        <v>180</v>
      </c>
      <c r="E62" s="360" t="s">
        <v>1185</v>
      </c>
      <c r="F62" s="1208">
        <f t="shared" si="3"/>
        <v>3.8384426440343733E-2</v>
      </c>
      <c r="G62" s="1208"/>
    </row>
    <row r="63" spans="1:32">
      <c r="A63" s="9" t="s">
        <v>138</v>
      </c>
      <c r="B63" s="1161" t="s">
        <v>167</v>
      </c>
      <c r="C63" s="1161"/>
      <c r="D63" s="357" t="s">
        <v>180</v>
      </c>
      <c r="E63" s="360" t="s">
        <v>1185</v>
      </c>
      <c r="F63" s="1208">
        <f t="shared" si="3"/>
        <v>3.838442644034374E-2</v>
      </c>
      <c r="G63" s="1208"/>
    </row>
    <row r="64" spans="1:32">
      <c r="A64" s="9" t="s">
        <v>1049</v>
      </c>
      <c r="B64" s="1161" t="s">
        <v>167</v>
      </c>
      <c r="C64" s="1161"/>
      <c r="D64" s="357" t="s">
        <v>180</v>
      </c>
      <c r="E64" s="360" t="s">
        <v>1185</v>
      </c>
      <c r="F64" s="1208">
        <f t="shared" si="3"/>
        <v>3.8384426440343733E-2</v>
      </c>
      <c r="G64" s="1208"/>
    </row>
    <row r="65" spans="1:7">
      <c r="A65" s="9" t="s">
        <v>963</v>
      </c>
      <c r="B65" s="1161" t="s">
        <v>167</v>
      </c>
      <c r="C65" s="1161"/>
      <c r="D65" s="357" t="s">
        <v>180</v>
      </c>
      <c r="E65" s="360" t="s">
        <v>1185</v>
      </c>
      <c r="F65" s="1208">
        <f t="shared" si="3"/>
        <v>3.8384426440343733E-2</v>
      </c>
      <c r="G65" s="1208"/>
    </row>
    <row r="66" spans="1:7">
      <c r="A66" s="9" t="s">
        <v>153</v>
      </c>
      <c r="B66" s="1161" t="s">
        <v>167</v>
      </c>
      <c r="C66" s="1161"/>
      <c r="D66" s="357" t="s">
        <v>180</v>
      </c>
      <c r="E66" s="360" t="s">
        <v>1185</v>
      </c>
      <c r="F66" s="1208">
        <f t="shared" si="3"/>
        <v>3.838442644034374E-2</v>
      </c>
      <c r="G66" s="1208"/>
    </row>
  </sheetData>
  <mergeCells count="63">
    <mergeCell ref="A42:S42"/>
    <mergeCell ref="A29:S29"/>
    <mergeCell ref="E9:J9"/>
    <mergeCell ref="K2:S2"/>
    <mergeCell ref="K3:S3"/>
    <mergeCell ref="K4:S4"/>
    <mergeCell ref="E2:J2"/>
    <mergeCell ref="A1:S1"/>
    <mergeCell ref="A11:S11"/>
    <mergeCell ref="A15:S15"/>
    <mergeCell ref="K8:S8"/>
    <mergeCell ref="K9:S9"/>
    <mergeCell ref="E8:J8"/>
    <mergeCell ref="E5:J5"/>
    <mergeCell ref="E4:J4"/>
    <mergeCell ref="E3:J3"/>
    <mergeCell ref="A7:S7"/>
    <mergeCell ref="K5:S5"/>
    <mergeCell ref="B56:C56"/>
    <mergeCell ref="F56:G56"/>
    <mergeCell ref="B57:C57"/>
    <mergeCell ref="F57:G57"/>
    <mergeCell ref="B58:C58"/>
    <mergeCell ref="F58:G58"/>
    <mergeCell ref="B59:C59"/>
    <mergeCell ref="F59:G59"/>
    <mergeCell ref="B60:C60"/>
    <mergeCell ref="F60:G60"/>
    <mergeCell ref="B61:C61"/>
    <mergeCell ref="F61:G61"/>
    <mergeCell ref="B62:C62"/>
    <mergeCell ref="F62:G62"/>
    <mergeCell ref="B63:C63"/>
    <mergeCell ref="F63:G63"/>
    <mergeCell ref="B64:C64"/>
    <mergeCell ref="F64:G64"/>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49:C49"/>
    <mergeCell ref="F49:G49"/>
    <mergeCell ref="B50:C50"/>
    <mergeCell ref="F50:G50"/>
    <mergeCell ref="B51:C51"/>
    <mergeCell ref="F51:G51"/>
    <mergeCell ref="A55:S55"/>
    <mergeCell ref="B52:C52"/>
    <mergeCell ref="F52:G52"/>
    <mergeCell ref="B53:C53"/>
    <mergeCell ref="F53:G53"/>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4.4"/>
  <cols>
    <col min="1" max="1" width="9.6640625" bestFit="1" customWidth="1"/>
    <col min="6" max="6" width="27.33203125" bestFit="1" customWidth="1"/>
  </cols>
  <sheetData>
    <row r="1" spans="1:28">
      <c r="A1" t="s">
        <v>1105</v>
      </c>
    </row>
    <row r="2" spans="1:28">
      <c r="A2" s="140" t="s">
        <v>1102</v>
      </c>
      <c r="B2" s="140" t="s">
        <v>101</v>
      </c>
      <c r="C2" s="140" t="s">
        <v>182</v>
      </c>
      <c r="D2" s="140" t="s">
        <v>180</v>
      </c>
      <c r="E2" s="140" t="s">
        <v>1103</v>
      </c>
      <c r="F2" s="373" t="s">
        <v>104</v>
      </c>
      <c r="G2" s="225" t="s">
        <v>1104</v>
      </c>
      <c r="H2" s="225" t="s">
        <v>1198</v>
      </c>
    </row>
    <row r="3" spans="1:28">
      <c r="A3" s="386" t="s">
        <v>1105</v>
      </c>
      <c r="B3" s="360">
        <v>1990</v>
      </c>
      <c r="C3" s="390">
        <v>418764395</v>
      </c>
      <c r="D3" s="390">
        <v>14951510</v>
      </c>
      <c r="E3" s="387"/>
      <c r="F3" s="388" t="s">
        <v>1199</v>
      </c>
      <c r="G3" s="372">
        <f t="shared" ref="G3:G12" si="0">D3/C3</f>
        <v>3.5703871146924991E-2</v>
      </c>
      <c r="H3" s="372">
        <f>C3/D3</f>
        <v>28.008167402489782</v>
      </c>
    </row>
    <row r="4" spans="1:28">
      <c r="A4" s="386" t="s">
        <v>1105</v>
      </c>
      <c r="B4" s="360">
        <v>1995</v>
      </c>
      <c r="C4" s="390">
        <v>424301173</v>
      </c>
      <c r="D4" s="390">
        <v>15459006</v>
      </c>
      <c r="E4" s="385"/>
      <c r="F4" s="389" t="s">
        <v>1199</v>
      </c>
      <c r="G4" s="372">
        <f t="shared" si="0"/>
        <v>3.6434040214166456E-2</v>
      </c>
      <c r="H4" s="372">
        <f t="shared" ref="H4:H12" si="1">C4/D4</f>
        <v>27.446859972756332</v>
      </c>
    </row>
    <row r="5" spans="1:28">
      <c r="A5" s="386" t="s">
        <v>1105</v>
      </c>
      <c r="B5" s="360">
        <v>2000</v>
      </c>
      <c r="C5" s="390">
        <v>428929021</v>
      </c>
      <c r="D5" s="390">
        <v>15925513</v>
      </c>
      <c r="E5" s="385"/>
      <c r="F5" s="389" t="s">
        <v>1199</v>
      </c>
      <c r="G5" s="372">
        <f t="shared" si="0"/>
        <v>3.7128550926378096E-2</v>
      </c>
      <c r="H5" s="372">
        <f t="shared" si="1"/>
        <v>26.933450809402498</v>
      </c>
    </row>
    <row r="6" spans="1:28">
      <c r="A6" s="386" t="s">
        <v>1105</v>
      </c>
      <c r="B6" s="360">
        <v>2005</v>
      </c>
      <c r="C6" s="390">
        <v>435116254</v>
      </c>
      <c r="D6" s="390">
        <v>16319868</v>
      </c>
      <c r="E6" s="385"/>
      <c r="F6" s="389" t="s">
        <v>1199</v>
      </c>
      <c r="G6" s="372">
        <f t="shared" si="0"/>
        <v>3.7506914186662396E-2</v>
      </c>
      <c r="H6" s="372">
        <f t="shared" si="1"/>
        <v>26.661750818082599</v>
      </c>
    </row>
    <row r="7" spans="1:28">
      <c r="A7" s="386" t="s">
        <v>1105</v>
      </c>
      <c r="B7" s="360">
        <v>2010</v>
      </c>
      <c r="C7" s="390">
        <v>441041446</v>
      </c>
      <c r="D7" s="390">
        <v>16615394</v>
      </c>
      <c r="E7" s="385"/>
      <c r="F7" s="389" t="s">
        <v>1199</v>
      </c>
      <c r="G7" s="372">
        <f t="shared" si="0"/>
        <v>3.7673089798458535E-2</v>
      </c>
      <c r="H7" s="372">
        <f t="shared" si="1"/>
        <v>26.544146109324881</v>
      </c>
    </row>
    <row r="8" spans="1:28">
      <c r="A8" s="386" t="s">
        <v>1105</v>
      </c>
      <c r="B8" s="360">
        <v>2015</v>
      </c>
      <c r="C8" s="390">
        <v>444234821</v>
      </c>
      <c r="D8" s="390">
        <v>16939923</v>
      </c>
      <c r="E8" s="385"/>
      <c r="F8" s="389" t="s">
        <v>1199</v>
      </c>
      <c r="G8" s="372">
        <f t="shared" si="0"/>
        <v>3.8132812195737352E-2</v>
      </c>
      <c r="H8" s="372">
        <f t="shared" si="1"/>
        <v>26.224134607931806</v>
      </c>
    </row>
    <row r="9" spans="1:28">
      <c r="A9" s="386" t="s">
        <v>1105</v>
      </c>
      <c r="B9" s="360">
        <v>2019</v>
      </c>
      <c r="C9" s="390">
        <v>447022255</v>
      </c>
      <c r="D9" s="390">
        <v>17344874</v>
      </c>
      <c r="E9" s="385"/>
      <c r="F9" s="389" t="s">
        <v>1199</v>
      </c>
      <c r="G9" s="372">
        <f t="shared" si="0"/>
        <v>3.8800918312221391E-2</v>
      </c>
      <c r="H9" s="372">
        <f t="shared" si="1"/>
        <v>25.772585894829792</v>
      </c>
    </row>
    <row r="10" spans="1:28">
      <c r="A10" s="386" t="s">
        <v>1105</v>
      </c>
      <c r="B10" s="360">
        <v>2020</v>
      </c>
      <c r="C10" s="390">
        <v>447346360</v>
      </c>
      <c r="D10" s="390">
        <v>17441500</v>
      </c>
      <c r="E10" s="387" t="s">
        <v>1106</v>
      </c>
      <c r="F10" s="388" t="s">
        <v>1199</v>
      </c>
      <c r="G10" s="372">
        <f>D10/C10</f>
        <v>3.8988805005588961E-2</v>
      </c>
      <c r="H10" s="372">
        <f t="shared" si="1"/>
        <v>25.648388040019494</v>
      </c>
    </row>
    <row r="11" spans="1:28">
      <c r="A11" s="386" t="s">
        <v>1105</v>
      </c>
      <c r="B11" s="385">
        <v>2021</v>
      </c>
      <c r="C11" s="390">
        <v>446904604</v>
      </c>
      <c r="D11" s="390">
        <v>17533044</v>
      </c>
      <c r="E11" s="385"/>
      <c r="F11" s="389" t="s">
        <v>1199</v>
      </c>
      <c r="G11" s="372">
        <f t="shared" si="0"/>
        <v>3.923218477292751E-2</v>
      </c>
      <c r="H11" s="372">
        <f t="shared" si="1"/>
        <v>25.489276362963555</v>
      </c>
    </row>
    <row r="12" spans="1:28">
      <c r="A12" s="386" t="s">
        <v>1105</v>
      </c>
      <c r="B12" s="385">
        <v>2022</v>
      </c>
      <c r="C12" s="390">
        <v>447033117</v>
      </c>
      <c r="D12" s="390">
        <v>17700982</v>
      </c>
      <c r="E12" s="385"/>
      <c r="F12" s="389" t="s">
        <v>1199</v>
      </c>
      <c r="G12" s="372">
        <f t="shared" si="0"/>
        <v>3.9596578702691503E-2</v>
      </c>
      <c r="H12" s="372">
        <f t="shared" si="1"/>
        <v>25.254707168223774</v>
      </c>
    </row>
    <row r="14" spans="1:28">
      <c r="B14" s="393" t="s">
        <v>1200</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1201</v>
      </c>
      <c r="C15" s="392" t="s">
        <v>1202</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1203</v>
      </c>
      <c r="C16" s="393" t="s">
        <v>1204</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1205</v>
      </c>
      <c r="C18" s="391"/>
      <c r="D18" s="393" t="s">
        <v>1206</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1207</v>
      </c>
      <c r="C19" s="391"/>
      <c r="D19" s="393" t="s">
        <v>1208</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1209</v>
      </c>
      <c r="C21" s="1218" t="s">
        <v>1210</v>
      </c>
      <c r="D21" s="1218" t="s">
        <v>249</v>
      </c>
      <c r="E21" s="1218" t="s">
        <v>1211</v>
      </c>
      <c r="F21" s="1218" t="s">
        <v>249</v>
      </c>
      <c r="G21" s="1218" t="s">
        <v>1212</v>
      </c>
      <c r="H21" s="1218" t="s">
        <v>249</v>
      </c>
      <c r="I21" s="1218" t="s">
        <v>1213</v>
      </c>
      <c r="J21" s="1218" t="s">
        <v>249</v>
      </c>
      <c r="K21" s="1218" t="s">
        <v>1214</v>
      </c>
      <c r="L21" s="1218" t="s">
        <v>249</v>
      </c>
      <c r="M21" s="1218" t="s">
        <v>1215</v>
      </c>
      <c r="N21" s="1218" t="s">
        <v>249</v>
      </c>
      <c r="O21" s="1218" t="s">
        <v>1216</v>
      </c>
      <c r="P21" s="1218" t="s">
        <v>249</v>
      </c>
      <c r="Q21" s="1218" t="s">
        <v>1217</v>
      </c>
      <c r="R21" s="1218" t="s">
        <v>249</v>
      </c>
      <c r="S21" s="1218" t="s">
        <v>1218</v>
      </c>
      <c r="T21" s="1218" t="s">
        <v>249</v>
      </c>
      <c r="U21" s="1218" t="s">
        <v>1219</v>
      </c>
      <c r="V21" s="1218" t="s">
        <v>249</v>
      </c>
      <c r="W21" s="1218" t="s">
        <v>1220</v>
      </c>
      <c r="X21" s="1218" t="s">
        <v>249</v>
      </c>
      <c r="Y21" s="1218" t="s">
        <v>1221</v>
      </c>
      <c r="Z21" s="1218" t="s">
        <v>249</v>
      </c>
      <c r="AA21" s="1218" t="s">
        <v>1222</v>
      </c>
      <c r="AB21" s="1218" t="s">
        <v>249</v>
      </c>
    </row>
    <row r="22" spans="2:28">
      <c r="B22" s="395" t="s">
        <v>1223</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1224</v>
      </c>
      <c r="C23" s="399">
        <v>418764395</v>
      </c>
      <c r="D23" s="399" t="s">
        <v>249</v>
      </c>
      <c r="E23" s="399">
        <v>424301173</v>
      </c>
      <c r="F23" s="399" t="s">
        <v>249</v>
      </c>
      <c r="G23" s="399">
        <v>428929021</v>
      </c>
      <c r="H23" s="399" t="s">
        <v>1225</v>
      </c>
      <c r="I23" s="399">
        <v>443274551</v>
      </c>
      <c r="J23" s="399" t="s">
        <v>1225</v>
      </c>
      <c r="K23" s="399">
        <v>444234821</v>
      </c>
      <c r="L23" s="399" t="s">
        <v>1225</v>
      </c>
      <c r="M23" s="399">
        <v>445167186</v>
      </c>
      <c r="N23" s="399" t="s">
        <v>249</v>
      </c>
      <c r="O23" s="399">
        <v>445871494</v>
      </c>
      <c r="P23" s="399" t="s">
        <v>1225</v>
      </c>
      <c r="Q23" s="399">
        <v>446655355</v>
      </c>
      <c r="R23" s="399" t="s">
        <v>1226</v>
      </c>
      <c r="S23" s="399">
        <v>447022255</v>
      </c>
      <c r="T23" s="399" t="s">
        <v>1227</v>
      </c>
      <c r="U23" s="399">
        <v>447346360</v>
      </c>
      <c r="V23" s="399" t="s">
        <v>1228</v>
      </c>
      <c r="W23" s="399">
        <v>446904604</v>
      </c>
      <c r="X23" s="399" t="s">
        <v>1227</v>
      </c>
      <c r="Y23" s="399">
        <v>447033117</v>
      </c>
      <c r="Z23" s="399" t="s">
        <v>1227</v>
      </c>
      <c r="AA23" s="399" t="s">
        <v>1229</v>
      </c>
      <c r="AB23" s="399" t="s">
        <v>249</v>
      </c>
    </row>
    <row r="24" spans="2:28">
      <c r="B24" s="396" t="s">
        <v>1230</v>
      </c>
      <c r="C24" s="398">
        <v>476011981</v>
      </c>
      <c r="D24" s="398" t="s">
        <v>249</v>
      </c>
      <c r="E24" s="398">
        <v>482320203</v>
      </c>
      <c r="F24" s="398" t="s">
        <v>249</v>
      </c>
      <c r="G24" s="398">
        <v>487821535</v>
      </c>
      <c r="H24" s="398" t="s">
        <v>1225</v>
      </c>
      <c r="I24" s="398">
        <v>507876849</v>
      </c>
      <c r="J24" s="398" t="s">
        <v>1225</v>
      </c>
      <c r="K24" s="398">
        <v>509351040</v>
      </c>
      <c r="L24" s="398" t="s">
        <v>1225</v>
      </c>
      <c r="M24" s="398">
        <v>510778779</v>
      </c>
      <c r="N24" s="398" t="s">
        <v>249</v>
      </c>
      <c r="O24" s="398">
        <v>511930353</v>
      </c>
      <c r="P24" s="398" t="s">
        <v>1225</v>
      </c>
      <c r="Q24" s="398" t="s">
        <v>1229</v>
      </c>
      <c r="R24" s="398" t="s">
        <v>249</v>
      </c>
      <c r="S24" s="398">
        <v>513858582</v>
      </c>
      <c r="T24" s="398" t="s">
        <v>1227</v>
      </c>
      <c r="U24" s="398" t="s">
        <v>1229</v>
      </c>
      <c r="V24" s="398" t="s">
        <v>249</v>
      </c>
      <c r="W24" s="398" t="s">
        <v>1229</v>
      </c>
      <c r="X24" s="398" t="s">
        <v>249</v>
      </c>
      <c r="Y24" s="398" t="s">
        <v>1229</v>
      </c>
      <c r="Z24" s="398" t="s">
        <v>249</v>
      </c>
      <c r="AA24" s="398" t="s">
        <v>1229</v>
      </c>
      <c r="AB24" s="398" t="s">
        <v>249</v>
      </c>
    </row>
    <row r="25" spans="2:28">
      <c r="B25" s="396" t="s">
        <v>1231</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1229</v>
      </c>
      <c r="AB25" s="399" t="s">
        <v>249</v>
      </c>
    </row>
    <row r="27" spans="2:28">
      <c r="B27" s="392" t="s">
        <v>1232</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1229</v>
      </c>
      <c r="C28" s="393" t="s">
        <v>1233</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1234</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1227</v>
      </c>
      <c r="C30" s="393" t="s">
        <v>1235</v>
      </c>
    </row>
    <row r="31" spans="2:28">
      <c r="B31" s="392" t="s">
        <v>1225</v>
      </c>
      <c r="C31" s="393" t="s">
        <v>1236</v>
      </c>
    </row>
    <row r="32" spans="2:28">
      <c r="B32" s="392" t="s">
        <v>1226</v>
      </c>
      <c r="C32" s="393" t="s">
        <v>1237</v>
      </c>
    </row>
    <row r="33" spans="1:3">
      <c r="B33" s="392" t="s">
        <v>1228</v>
      </c>
      <c r="C33" s="393" t="s">
        <v>1238</v>
      </c>
    </row>
    <row r="34" spans="1:3">
      <c r="A34" t="s">
        <v>1239</v>
      </c>
    </row>
    <row r="35" spans="1:3">
      <c r="A35" s="394" t="s">
        <v>1209</v>
      </c>
      <c r="B35" s="396" t="s">
        <v>1224</v>
      </c>
      <c r="C35" s="396" t="s">
        <v>1231</v>
      </c>
    </row>
    <row r="36" spans="1:3">
      <c r="A36" s="400" t="s">
        <v>1210</v>
      </c>
      <c r="B36" s="399">
        <v>418764395</v>
      </c>
      <c r="C36" s="399">
        <v>14951510</v>
      </c>
    </row>
    <row r="37" spans="1:3">
      <c r="A37" s="400" t="s">
        <v>1211</v>
      </c>
      <c r="B37" s="399">
        <v>424301173</v>
      </c>
      <c r="C37" s="399">
        <v>15459006</v>
      </c>
    </row>
    <row r="38" spans="1:3">
      <c r="A38" s="400" t="s">
        <v>1212</v>
      </c>
      <c r="B38" s="399">
        <v>428929021</v>
      </c>
      <c r="C38" s="399">
        <v>15925513</v>
      </c>
    </row>
    <row r="39" spans="1:3">
      <c r="A39" s="400" t="s">
        <v>1213</v>
      </c>
      <c r="B39" s="399">
        <v>443274551</v>
      </c>
      <c r="C39" s="399">
        <v>16865008</v>
      </c>
    </row>
    <row r="40" spans="1:3">
      <c r="A40" s="400" t="s">
        <v>1214</v>
      </c>
      <c r="B40" s="399">
        <v>444234821</v>
      </c>
      <c r="C40" s="399">
        <v>16939923</v>
      </c>
    </row>
    <row r="41" spans="1:3">
      <c r="A41" s="400" t="s">
        <v>1215</v>
      </c>
      <c r="B41" s="399">
        <v>445167186</v>
      </c>
      <c r="C41" s="399">
        <v>17030314</v>
      </c>
    </row>
    <row r="42" spans="1:3">
      <c r="A42" s="400" t="s">
        <v>1216</v>
      </c>
      <c r="B42" s="399">
        <v>445871494</v>
      </c>
      <c r="C42" s="399">
        <v>17131296</v>
      </c>
    </row>
    <row r="43" spans="1:3">
      <c r="A43" s="400" t="s">
        <v>1217</v>
      </c>
      <c r="B43" s="399">
        <v>446655355</v>
      </c>
      <c r="C43" s="399">
        <v>17231624</v>
      </c>
    </row>
    <row r="44" spans="1:3">
      <c r="A44" s="400" t="s">
        <v>1218</v>
      </c>
      <c r="B44" s="399">
        <v>447022255</v>
      </c>
      <c r="C44" s="399">
        <v>17344874</v>
      </c>
    </row>
    <row r="45" spans="1:3">
      <c r="A45" s="400" t="s">
        <v>1219</v>
      </c>
      <c r="B45" s="399">
        <v>447346360</v>
      </c>
      <c r="C45" s="399">
        <v>17441500</v>
      </c>
    </row>
    <row r="46" spans="1:3">
      <c r="A46" s="400" t="s">
        <v>1220</v>
      </c>
      <c r="B46" s="399">
        <v>446904604</v>
      </c>
      <c r="C46" s="399">
        <v>17533044</v>
      </c>
    </row>
    <row r="47" spans="1:3">
      <c r="A47" s="400" t="s">
        <v>1221</v>
      </c>
      <c r="B47" s="399">
        <v>447033117</v>
      </c>
      <c r="C47" s="399">
        <v>17700982</v>
      </c>
    </row>
    <row r="48" spans="1:3">
      <c r="A48" s="400" t="s">
        <v>1222</v>
      </c>
      <c r="B48" s="399" t="s">
        <v>1229</v>
      </c>
      <c r="C48" s="399" t="s">
        <v>1229</v>
      </c>
    </row>
    <row r="49" spans="1:3">
      <c r="A49" s="400" t="s">
        <v>249</v>
      </c>
      <c r="B49" s="399" t="s">
        <v>249</v>
      </c>
      <c r="C49" s="399" t="s">
        <v>249</v>
      </c>
    </row>
    <row r="52" spans="1:3">
      <c r="A52" t="s">
        <v>1239</v>
      </c>
      <c r="B52" t="s">
        <v>182</v>
      </c>
      <c r="C52" t="s">
        <v>180</v>
      </c>
    </row>
    <row r="53" spans="1:3">
      <c r="A53" s="404" t="s">
        <v>1210</v>
      </c>
      <c r="B53" s="402">
        <v>418764395</v>
      </c>
      <c r="C53" s="403">
        <v>14951510</v>
      </c>
    </row>
    <row r="54" spans="1:3">
      <c r="A54" s="404" t="s">
        <v>1211</v>
      </c>
      <c r="B54" s="402">
        <v>424301173</v>
      </c>
      <c r="C54" s="403">
        <v>15459006</v>
      </c>
    </row>
    <row r="55" spans="1:3">
      <c r="A55" s="404" t="s">
        <v>1212</v>
      </c>
      <c r="B55" s="402">
        <v>428929021</v>
      </c>
      <c r="C55" s="403">
        <v>15925513</v>
      </c>
    </row>
    <row r="56" spans="1:3">
      <c r="A56" s="404" t="s">
        <v>1240</v>
      </c>
      <c r="B56" s="402">
        <v>435116254</v>
      </c>
      <c r="C56" s="403">
        <v>16319868</v>
      </c>
    </row>
    <row r="57" spans="1:3">
      <c r="A57" s="404" t="s">
        <v>1241</v>
      </c>
      <c r="B57" s="402">
        <v>441041446</v>
      </c>
      <c r="C57" s="403">
        <v>16615394</v>
      </c>
    </row>
    <row r="58" spans="1:3">
      <c r="A58" s="404" t="s">
        <v>1214</v>
      </c>
      <c r="B58" s="402">
        <v>444234821</v>
      </c>
      <c r="C58" s="403">
        <v>16939923</v>
      </c>
    </row>
    <row r="59" spans="1:3">
      <c r="A59" s="404" t="s">
        <v>1218</v>
      </c>
      <c r="B59" s="402">
        <v>447022255</v>
      </c>
      <c r="C59" s="403">
        <v>17344874</v>
      </c>
    </row>
    <row r="60" spans="1:3">
      <c r="A60" s="404" t="s">
        <v>1219</v>
      </c>
      <c r="B60" s="402">
        <v>447346360</v>
      </c>
      <c r="C60" s="403">
        <v>17441500</v>
      </c>
    </row>
    <row r="61" spans="1:3">
      <c r="A61" s="404" t="s">
        <v>1220</v>
      </c>
      <c r="B61" s="402">
        <v>446904604</v>
      </c>
      <c r="C61" s="403">
        <v>17533044</v>
      </c>
    </row>
    <row r="62" spans="1:3">
      <c r="A62" s="404" t="s">
        <v>1221</v>
      </c>
      <c r="B62" s="402">
        <v>447033117</v>
      </c>
      <c r="C62" s="403">
        <v>17700982</v>
      </c>
    </row>
  </sheetData>
  <mergeCells count="13">
    <mergeCell ref="W21:X21"/>
    <mergeCell ref="Y21:Z21"/>
    <mergeCell ref="AA21:AB21"/>
    <mergeCell ref="M21:N21"/>
    <mergeCell ref="O21:P21"/>
    <mergeCell ref="Q21:R21"/>
    <mergeCell ref="S21:T21"/>
    <mergeCell ref="U21:V21"/>
    <mergeCell ref="C21:D21"/>
    <mergeCell ref="E21:F21"/>
    <mergeCell ref="G21:H21"/>
    <mergeCell ref="I21:J21"/>
    <mergeCell ref="K21:L2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4.4"/>
  <cols>
    <col min="2" max="2" width="15.88671875" bestFit="1" customWidth="1"/>
    <col min="3" max="3" width="32.5546875" customWidth="1"/>
    <col min="4" max="4" width="28.44140625" bestFit="1" customWidth="1"/>
    <col min="5" max="5" width="32.109375" bestFit="1" customWidth="1"/>
    <col min="6" max="6" width="32.6640625" bestFit="1" customWidth="1"/>
    <col min="7" max="7" width="177.88671875" bestFit="1" customWidth="1"/>
    <col min="13" max="13" width="11" customWidth="1"/>
    <col min="15" max="15" width="20.109375" bestFit="1" customWidth="1"/>
  </cols>
  <sheetData>
    <row r="1" spans="1:15">
      <c r="A1" s="222" t="s">
        <v>101</v>
      </c>
      <c r="B1" s="222" t="s">
        <v>1242</v>
      </c>
      <c r="C1" s="222" t="s">
        <v>1243</v>
      </c>
      <c r="D1" s="222" t="s">
        <v>1244</v>
      </c>
      <c r="E1" s="222" t="s">
        <v>1245</v>
      </c>
      <c r="F1" s="222" t="s">
        <v>1246</v>
      </c>
      <c r="G1" s="222" t="s">
        <v>104</v>
      </c>
      <c r="H1" s="111" t="s">
        <v>134</v>
      </c>
      <c r="I1" s="112" t="s">
        <v>135</v>
      </c>
      <c r="J1" s="112" t="s">
        <v>65</v>
      </c>
      <c r="K1" s="112" t="s">
        <v>67</v>
      </c>
      <c r="L1" s="112" t="s">
        <v>73</v>
      </c>
      <c r="M1" s="113" t="s">
        <v>79</v>
      </c>
      <c r="O1" s="414" t="s">
        <v>1247</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1248</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1248</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1248</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1248</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1248</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1248</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1248</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1248</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1248</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1248</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1248</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1248</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1248</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1248</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1248</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1248</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1248</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1248</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1248</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1248</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1248</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1248</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1248</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1248</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1248</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1248</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1248</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1248</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1248</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1248</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1248</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1248</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1248</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1248</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1248</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1248</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1248</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1248</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1248</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1248</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1248</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1248</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1248</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1248</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1248</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1248</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1248</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1248</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1248</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1248</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1248</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1248</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1248</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1248</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1248</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1248</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1248</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1248</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1248</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1248</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1248</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1248</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1248</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1248</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1248</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1248</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1248</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1248</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1248</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1248</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1248</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1248</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1248</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1248</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1248</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1248</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1248</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1248</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1248</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1248</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1248</v>
      </c>
      <c r="H82" s="174">
        <v>2</v>
      </c>
      <c r="I82" s="66">
        <v>1</v>
      </c>
      <c r="J82" s="66">
        <v>1</v>
      </c>
      <c r="K82" s="66">
        <v>1</v>
      </c>
      <c r="L82" s="66">
        <v>1</v>
      </c>
      <c r="M82" s="66">
        <v>2</v>
      </c>
    </row>
  </sheetData>
  <conditionalFormatting sqref="H2:M82">
    <cfRule type="containsBlanks" dxfId="22" priority="1">
      <formula>LEN(TRIM(H2))=0</formula>
    </cfRule>
    <cfRule type="cellIs" dxfId="21"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58" zoomScale="80" zoomScaleNormal="80" workbookViewId="0">
      <selection activeCell="AD1" sqref="AD1:AD201"/>
    </sheetView>
  </sheetViews>
  <sheetFormatPr defaultRowHeight="14.4"/>
  <cols>
    <col min="1" max="1" width="20.6640625" customWidth="1"/>
    <col min="2" max="30" width="30.6640625" customWidth="1"/>
    <col min="31" max="33" width="30.6640625" style="958" customWidth="1"/>
    <col min="34" max="100" width="30.6640625" customWidth="1"/>
  </cols>
  <sheetData>
    <row r="1" spans="1:100" s="4" customFormat="1" ht="30" customHeight="1" thickBot="1">
      <c r="A1" s="555" t="s">
        <v>101</v>
      </c>
      <c r="B1" s="555" t="s">
        <v>980</v>
      </c>
      <c r="C1" s="555" t="s">
        <v>1249</v>
      </c>
      <c r="D1" s="555" t="s">
        <v>1156</v>
      </c>
      <c r="E1" s="555" t="s">
        <v>1159</v>
      </c>
      <c r="F1" s="555" t="s">
        <v>975</v>
      </c>
      <c r="G1" s="555" t="s">
        <v>1250</v>
      </c>
      <c r="H1" s="555" t="s">
        <v>1066</v>
      </c>
      <c r="I1" s="555" t="s">
        <v>1160</v>
      </c>
      <c r="J1" s="555" t="s">
        <v>1161</v>
      </c>
      <c r="K1" s="555" t="s">
        <v>1251</v>
      </c>
      <c r="L1" s="555" t="s">
        <v>1162</v>
      </c>
      <c r="M1" s="555" t="s">
        <v>1071</v>
      </c>
      <c r="N1" s="555" t="s">
        <v>1063</v>
      </c>
      <c r="O1" s="555" t="s">
        <v>1252</v>
      </c>
      <c r="P1" s="555" t="s">
        <v>1163</v>
      </c>
      <c r="Q1" s="555" t="s">
        <v>1164</v>
      </c>
      <c r="R1" s="555" t="s">
        <v>1165</v>
      </c>
      <c r="S1" s="555" t="s">
        <v>1253</v>
      </c>
      <c r="T1" s="555" t="s">
        <v>1254</v>
      </c>
      <c r="U1" s="555" t="s">
        <v>1075</v>
      </c>
      <c r="V1" s="555" t="s">
        <v>1255</v>
      </c>
      <c r="W1" s="555" t="s">
        <v>1256</v>
      </c>
      <c r="X1" s="908" t="s">
        <v>2145</v>
      </c>
      <c r="Y1" s="908" t="s">
        <v>2146</v>
      </c>
      <c r="Z1" s="908" t="s">
        <v>2147</v>
      </c>
      <c r="AA1" s="908" t="s">
        <v>2148</v>
      </c>
      <c r="AB1" s="908" t="s">
        <v>2149</v>
      </c>
      <c r="AC1" s="908" t="s">
        <v>2150</v>
      </c>
      <c r="AD1" s="908" t="s">
        <v>2151</v>
      </c>
      <c r="AE1" s="946" t="s">
        <v>1257</v>
      </c>
      <c r="AF1" s="947" t="s">
        <v>1258</v>
      </c>
      <c r="AG1" s="948" t="s">
        <v>1259</v>
      </c>
      <c r="AH1" s="556" t="s">
        <v>1260</v>
      </c>
      <c r="AI1" s="557" t="s">
        <v>1261</v>
      </c>
      <c r="AJ1" s="556" t="s">
        <v>1262</v>
      </c>
      <c r="AK1" s="557" t="s">
        <v>1263</v>
      </c>
      <c r="AL1" s="558" t="s">
        <v>1264</v>
      </c>
      <c r="AM1" s="558" t="s">
        <v>1265</v>
      </c>
      <c r="AN1" s="559" t="s">
        <v>1266</v>
      </c>
      <c r="AO1" s="558" t="s">
        <v>1267</v>
      </c>
      <c r="AP1" s="556" t="s">
        <v>1268</v>
      </c>
      <c r="AQ1" s="557" t="s">
        <v>1269</v>
      </c>
      <c r="AR1" s="556" t="s">
        <v>1270</v>
      </c>
      <c r="AS1" s="557" t="s">
        <v>1271</v>
      </c>
      <c r="AT1" s="558" t="s">
        <v>1272</v>
      </c>
      <c r="AU1" s="556" t="s">
        <v>1273</v>
      </c>
      <c r="AV1" s="557" t="s">
        <v>1274</v>
      </c>
      <c r="AW1" s="560" t="s">
        <v>1275</v>
      </c>
      <c r="AX1" s="561" t="s">
        <v>1276</v>
      </c>
      <c r="AY1" s="560" t="s">
        <v>1277</v>
      </c>
      <c r="AZ1" s="561" t="s">
        <v>1278</v>
      </c>
      <c r="BA1" s="562" t="s">
        <v>1279</v>
      </c>
      <c r="BB1" s="563" t="s">
        <v>1280</v>
      </c>
      <c r="BC1" s="562" t="s">
        <v>1281</v>
      </c>
      <c r="BD1" s="563" t="s">
        <v>1282</v>
      </c>
      <c r="BE1" s="562" t="s">
        <v>1283</v>
      </c>
      <c r="BF1" s="563" t="s">
        <v>1284</v>
      </c>
      <c r="BG1" s="562" t="s">
        <v>1285</v>
      </c>
      <c r="BH1" s="563" t="s">
        <v>1286</v>
      </c>
      <c r="BI1" s="560" t="s">
        <v>1287</v>
      </c>
      <c r="BJ1" s="561" t="s">
        <v>1288</v>
      </c>
      <c r="BK1" s="560" t="s">
        <v>1289</v>
      </c>
      <c r="BL1" s="561" t="s">
        <v>1290</v>
      </c>
      <c r="BM1" s="560" t="s">
        <v>1291</v>
      </c>
      <c r="BN1" s="561" t="s">
        <v>1292</v>
      </c>
      <c r="BO1" s="560" t="s">
        <v>1293</v>
      </c>
      <c r="BP1" s="561" t="s">
        <v>1294</v>
      </c>
      <c r="BQ1" s="560" t="s">
        <v>1295</v>
      </c>
      <c r="BR1" s="561" t="s">
        <v>1296</v>
      </c>
      <c r="BS1" s="560" t="s">
        <v>1297</v>
      </c>
      <c r="BT1" s="561" t="s">
        <v>1298</v>
      </c>
      <c r="BU1" s="560" t="s">
        <v>1299</v>
      </c>
      <c r="BV1" s="561" t="s">
        <v>1300</v>
      </c>
      <c r="BW1" s="560" t="s">
        <v>1301</v>
      </c>
      <c r="BX1" s="561" t="s">
        <v>1302</v>
      </c>
      <c r="BY1" s="560" t="s">
        <v>1303</v>
      </c>
      <c r="BZ1" s="561" t="s">
        <v>1304</v>
      </c>
      <c r="CA1" s="560" t="s">
        <v>1305</v>
      </c>
      <c r="CB1" s="561" t="s">
        <v>1306</v>
      </c>
      <c r="CC1" s="560" t="s">
        <v>1307</v>
      </c>
      <c r="CD1" s="561" t="s">
        <v>1308</v>
      </c>
      <c r="CE1" s="560" t="s">
        <v>1309</v>
      </c>
      <c r="CF1" s="561" t="s">
        <v>1310</v>
      </c>
      <c r="CG1" s="560" t="s">
        <v>1311</v>
      </c>
      <c r="CH1" s="561" t="s">
        <v>1312</v>
      </c>
      <c r="CI1" s="560" t="s">
        <v>1313</v>
      </c>
      <c r="CJ1" s="561" t="s">
        <v>1314</v>
      </c>
      <c r="CK1" s="560" t="s">
        <v>1315</v>
      </c>
      <c r="CL1" s="561" t="s">
        <v>1316</v>
      </c>
      <c r="CM1" s="560" t="s">
        <v>1317</v>
      </c>
      <c r="CN1" s="561" t="s">
        <v>1318</v>
      </c>
      <c r="CO1" s="562" t="s">
        <v>1319</v>
      </c>
      <c r="CP1" s="563" t="s">
        <v>1320</v>
      </c>
      <c r="CQ1" s="562" t="s">
        <v>1321</v>
      </c>
      <c r="CR1" s="563" t="s">
        <v>1322</v>
      </c>
      <c r="CS1" s="562" t="s">
        <v>1323</v>
      </c>
      <c r="CT1" s="563" t="s">
        <v>1324</v>
      </c>
      <c r="CU1" s="562" t="s">
        <v>1325</v>
      </c>
      <c r="CV1" s="563" t="s">
        <v>1326</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11">
        <f>AE2+(SUM($AE$5:$AE$6)/3)</f>
        <v>0.35</v>
      </c>
      <c r="Z2" s="912">
        <f>AE2+(SUM($AE$6)/4)</f>
        <v>0.3125</v>
      </c>
      <c r="AA2" s="910">
        <v>0.3</v>
      </c>
      <c r="AB2" s="911">
        <f>Clothing!J619</f>
        <v>0.25</v>
      </c>
      <c r="AC2" s="911">
        <f>Clothing!K619</f>
        <v>0.2142857142857143</v>
      </c>
      <c r="AD2" s="911">
        <f>Clothing!L619</f>
        <v>0.1875</v>
      </c>
      <c r="AE2" s="949">
        <v>0.3</v>
      </c>
      <c r="AF2" s="950">
        <v>0.72</v>
      </c>
      <c r="AG2" s="951">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09">
        <f>AE3+(SUM($AE$4:$AE$6)/2)</f>
        <v>0.55000000000000004</v>
      </c>
      <c r="Y3" s="686">
        <f t="shared" ref="Y3:Y4" si="15">AE3+(SUM($AE$5:$AE$6)/3)</f>
        <v>0.45</v>
      </c>
      <c r="Z3" s="913">
        <f t="shared" ref="Z3:Z5" si="16">AE3+(SUM($AE$6)/4)</f>
        <v>0.41250000000000003</v>
      </c>
      <c r="AA3" s="942">
        <v>0.4</v>
      </c>
      <c r="AB3" s="942">
        <f>Clothing!J620</f>
        <v>0.37333333333333335</v>
      </c>
      <c r="AC3" s="942">
        <f>Clothing!K620</f>
        <v>0.35342222222222225</v>
      </c>
      <c r="AD3" s="945">
        <f>Clothing!L620</f>
        <v>0.33780881382716055</v>
      </c>
      <c r="AE3" s="952">
        <v>0.4</v>
      </c>
      <c r="AF3" s="953">
        <v>0.12</v>
      </c>
      <c r="AG3" s="954">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13">
        <f t="shared" si="16"/>
        <v>0.16250000000000001</v>
      </c>
      <c r="AA4" s="942">
        <v>0.15</v>
      </c>
      <c r="AB4" s="942">
        <f>Clothing!J621</f>
        <v>0.14624999999999999</v>
      </c>
      <c r="AC4" s="942">
        <f>Clothing!K621</f>
        <v>0.14319441964285715</v>
      </c>
      <c r="AD4" s="945">
        <f>Clothing!L621</f>
        <v>0.14063133941575032</v>
      </c>
      <c r="AE4" s="952">
        <v>0.15</v>
      </c>
      <c r="AF4" s="953">
        <v>0.08</v>
      </c>
      <c r="AG4" s="954">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13">
        <f t="shared" si="16"/>
        <v>0.1125</v>
      </c>
      <c r="AA5" s="942">
        <v>0.1</v>
      </c>
      <c r="AB5" s="942">
        <f>Clothing!J622</f>
        <v>9.8333333333333328E-2</v>
      </c>
      <c r="AC5" s="942">
        <f>Clothing!K622</f>
        <v>9.6951984126984123E-2</v>
      </c>
      <c r="AD5" s="945">
        <f>Clothing!L622</f>
        <v>9.5777023223714244E-2</v>
      </c>
      <c r="AE5" s="952">
        <v>0.1</v>
      </c>
      <c r="AF5" s="953">
        <v>0.04</v>
      </c>
      <c r="AG5" s="954">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942">
        <v>0.05</v>
      </c>
      <c r="AB6" s="942">
        <f>Clothing!J623</f>
        <v>4.958333333333334E-2</v>
      </c>
      <c r="AC6" s="942">
        <f>Clothing!K623</f>
        <v>4.9232118055555565E-2</v>
      </c>
      <c r="AD6" s="687">
        <f>Clothing!L623</f>
        <v>4.8929142874526044E-2</v>
      </c>
      <c r="AE6" s="952">
        <v>0.05</v>
      </c>
      <c r="AF6" s="953">
        <v>0.04</v>
      </c>
      <c r="AG6" s="954">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943">
        <f>Clothing!J624</f>
        <v>8.2500000000000018E-2</v>
      </c>
      <c r="AC7" s="942">
        <f>Clothing!K624</f>
        <v>8.1527678571428591E-2</v>
      </c>
      <c r="AD7" s="945">
        <f>Clothing!L624</f>
        <v>8.0696833274772811E-2</v>
      </c>
      <c r="AE7" s="952">
        <v>0</v>
      </c>
      <c r="AF7" s="953">
        <v>0</v>
      </c>
      <c r="AG7" s="954">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942">
        <f>Clothing!K625</f>
        <v>6.1385863095237969E-2</v>
      </c>
      <c r="AD8" s="945">
        <f>Clothing!L625</f>
        <v>6.0914835071744562E-2</v>
      </c>
      <c r="AE8" s="952">
        <v>0</v>
      </c>
      <c r="AF8" s="953">
        <v>0</v>
      </c>
      <c r="AG8" s="954">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944">
        <v>0</v>
      </c>
      <c r="AC9" s="688">
        <v>0</v>
      </c>
      <c r="AD9" s="687">
        <f>Clothing!L626</f>
        <v>4.7742012312331328E-2</v>
      </c>
      <c r="AE9" s="952">
        <v>0</v>
      </c>
      <c r="AF9" s="953">
        <v>0</v>
      </c>
      <c r="AG9" s="954">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952">
        <v>0</v>
      </c>
      <c r="AF10" s="953">
        <v>0</v>
      </c>
      <c r="AG10" s="954">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952">
        <v>0</v>
      </c>
      <c r="AF11" s="953">
        <v>0</v>
      </c>
      <c r="AG11" s="954">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952">
        <v>0</v>
      </c>
      <c r="AF12" s="953">
        <v>0</v>
      </c>
      <c r="AG12" s="954">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952">
        <v>0</v>
      </c>
      <c r="AF13" s="953">
        <v>0</v>
      </c>
      <c r="AG13" s="954">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952">
        <v>0</v>
      </c>
      <c r="AF14" s="953">
        <v>0</v>
      </c>
      <c r="AG14" s="954">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952">
        <v>0</v>
      </c>
      <c r="AF15" s="953">
        <v>0</v>
      </c>
      <c r="AG15" s="954">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952">
        <v>0</v>
      </c>
      <c r="AF16" s="953">
        <v>0</v>
      </c>
      <c r="AG16" s="954">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952">
        <v>0</v>
      </c>
      <c r="AF17" s="953">
        <v>0</v>
      </c>
      <c r="AG17" s="954">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952">
        <v>0</v>
      </c>
      <c r="AF18" s="953">
        <v>0</v>
      </c>
      <c r="AG18" s="954">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952">
        <v>0</v>
      </c>
      <c r="AF19" s="953">
        <v>0</v>
      </c>
      <c r="AG19" s="954">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952">
        <v>0</v>
      </c>
      <c r="AF20" s="953">
        <v>0</v>
      </c>
      <c r="AG20" s="954">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952">
        <v>0</v>
      </c>
      <c r="AF21" s="953">
        <v>0</v>
      </c>
      <c r="AG21" s="954">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952">
        <v>0</v>
      </c>
      <c r="AF22" s="953">
        <v>0</v>
      </c>
      <c r="AG22" s="954">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952">
        <v>0</v>
      </c>
      <c r="AF23" s="953">
        <v>0</v>
      </c>
      <c r="AG23" s="954">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952">
        <v>0</v>
      </c>
      <c r="AF24" s="953">
        <v>0</v>
      </c>
      <c r="AG24" s="954">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952">
        <v>0</v>
      </c>
      <c r="AF25" s="953">
        <v>0</v>
      </c>
      <c r="AG25" s="954">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952">
        <v>0</v>
      </c>
      <c r="AF26" s="953">
        <v>0</v>
      </c>
      <c r="AG26" s="954">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952">
        <v>0</v>
      </c>
      <c r="AF27" s="953">
        <v>0</v>
      </c>
      <c r="AG27" s="954">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952">
        <v>0</v>
      </c>
      <c r="AF28" s="953">
        <v>0</v>
      </c>
      <c r="AG28" s="954">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952">
        <v>0</v>
      </c>
      <c r="AF29" s="953">
        <v>0</v>
      </c>
      <c r="AG29" s="954">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952">
        <v>0</v>
      </c>
      <c r="AF30" s="953">
        <v>0</v>
      </c>
      <c r="AG30" s="954">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952">
        <v>0</v>
      </c>
      <c r="AF31" s="953">
        <v>0</v>
      </c>
      <c r="AG31" s="954">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952">
        <v>0</v>
      </c>
      <c r="AF32" s="953">
        <v>0</v>
      </c>
      <c r="AG32" s="954">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952">
        <v>0</v>
      </c>
      <c r="AF33" s="953">
        <v>0</v>
      </c>
      <c r="AG33" s="954">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952">
        <v>0</v>
      </c>
      <c r="AF34" s="953">
        <v>0</v>
      </c>
      <c r="AG34" s="954">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952">
        <v>0</v>
      </c>
      <c r="AF35" s="953">
        <v>0</v>
      </c>
      <c r="AG35" s="954">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952">
        <v>0</v>
      </c>
      <c r="AF36" s="953">
        <v>0</v>
      </c>
      <c r="AG36" s="954">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952">
        <v>0</v>
      </c>
      <c r="AF37" s="953">
        <v>0</v>
      </c>
      <c r="AG37" s="954">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952">
        <v>0</v>
      </c>
      <c r="AF38" s="953">
        <v>0</v>
      </c>
      <c r="AG38" s="954">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952">
        <v>0</v>
      </c>
      <c r="AF39" s="953">
        <v>0</v>
      </c>
      <c r="AG39" s="954">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952">
        <v>0</v>
      </c>
      <c r="AF40" s="953">
        <v>0</v>
      </c>
      <c r="AG40" s="954">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952">
        <v>0</v>
      </c>
      <c r="AF41" s="953">
        <v>0</v>
      </c>
      <c r="AG41" s="954">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952">
        <v>0</v>
      </c>
      <c r="AF42" s="953">
        <v>0</v>
      </c>
      <c r="AG42" s="954">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952">
        <v>0</v>
      </c>
      <c r="AF43" s="953">
        <v>0</v>
      </c>
      <c r="AG43" s="954">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952">
        <v>0</v>
      </c>
      <c r="AF44" s="953">
        <v>0</v>
      </c>
      <c r="AG44" s="954">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952">
        <v>0</v>
      </c>
      <c r="AF45" s="953">
        <v>0</v>
      </c>
      <c r="AG45" s="954">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952">
        <v>0</v>
      </c>
      <c r="AF46" s="953">
        <v>0</v>
      </c>
      <c r="AG46" s="954">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952">
        <v>0</v>
      </c>
      <c r="AF47" s="953">
        <v>0</v>
      </c>
      <c r="AG47" s="954">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952">
        <v>0</v>
      </c>
      <c r="AF48" s="953">
        <v>0</v>
      </c>
      <c r="AG48" s="954">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952">
        <v>0</v>
      </c>
      <c r="AF49" s="953">
        <v>0</v>
      </c>
      <c r="AG49" s="954">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952">
        <v>0</v>
      </c>
      <c r="AF50" s="953">
        <v>0</v>
      </c>
      <c r="AG50" s="954">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952">
        <v>0</v>
      </c>
      <c r="AF51" s="953">
        <v>0</v>
      </c>
      <c r="AG51" s="954">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952">
        <v>0</v>
      </c>
      <c r="AF52" s="953">
        <v>0</v>
      </c>
      <c r="AG52" s="954">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952">
        <v>0</v>
      </c>
      <c r="AF53" s="953">
        <v>0</v>
      </c>
      <c r="AG53" s="954">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952">
        <v>0</v>
      </c>
      <c r="AF54" s="953">
        <v>0</v>
      </c>
      <c r="AG54" s="954">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952">
        <v>0</v>
      </c>
      <c r="AF55" s="953">
        <v>0</v>
      </c>
      <c r="AG55" s="954">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952">
        <v>0</v>
      </c>
      <c r="AF56" s="953">
        <v>0</v>
      </c>
      <c r="AG56" s="954">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952">
        <v>0</v>
      </c>
      <c r="AF57" s="953">
        <v>0</v>
      </c>
      <c r="AG57" s="954">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952">
        <v>0</v>
      </c>
      <c r="AF58" s="953">
        <v>0</v>
      </c>
      <c r="AG58" s="954">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952">
        <v>0</v>
      </c>
      <c r="AF59" s="953">
        <v>0</v>
      </c>
      <c r="AG59" s="954">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952">
        <v>0</v>
      </c>
      <c r="AF60" s="953">
        <v>0</v>
      </c>
      <c r="AG60" s="954">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952">
        <v>0</v>
      </c>
      <c r="AF61" s="953">
        <v>0</v>
      </c>
      <c r="AG61" s="954">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952">
        <v>0</v>
      </c>
      <c r="AF62" s="953">
        <v>0</v>
      </c>
      <c r="AG62" s="954">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952">
        <v>0</v>
      </c>
      <c r="AF63" s="953">
        <v>0</v>
      </c>
      <c r="AG63" s="954">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952">
        <v>0</v>
      </c>
      <c r="AF64" s="953">
        <v>0</v>
      </c>
      <c r="AG64" s="954">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952">
        <v>0</v>
      </c>
      <c r="AF65" s="953">
        <v>0</v>
      </c>
      <c r="AG65" s="954">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952">
        <v>0</v>
      </c>
      <c r="AF66" s="953">
        <v>0</v>
      </c>
      <c r="AG66" s="954">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952">
        <v>0</v>
      </c>
      <c r="AF67" s="953">
        <v>0</v>
      </c>
      <c r="AG67" s="954">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952">
        <v>0</v>
      </c>
      <c r="AF68" s="953">
        <v>0</v>
      </c>
      <c r="AG68" s="954">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952">
        <v>0</v>
      </c>
      <c r="AF69" s="953">
        <v>0</v>
      </c>
      <c r="AG69" s="954">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952">
        <v>0</v>
      </c>
      <c r="AF70" s="953">
        <v>0</v>
      </c>
      <c r="AG70" s="954">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952">
        <v>0</v>
      </c>
      <c r="AF71" s="953">
        <v>0</v>
      </c>
      <c r="AG71" s="954">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952">
        <v>0</v>
      </c>
      <c r="AF72" s="953">
        <v>0</v>
      </c>
      <c r="AG72" s="954">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952">
        <v>0</v>
      </c>
      <c r="AF73" s="953">
        <v>0</v>
      </c>
      <c r="AG73" s="954">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952">
        <v>0</v>
      </c>
      <c r="AF74" s="953">
        <v>0</v>
      </c>
      <c r="AG74" s="954">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952">
        <v>0</v>
      </c>
      <c r="AF75" s="953">
        <v>0</v>
      </c>
      <c r="AG75" s="954">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952">
        <v>0</v>
      </c>
      <c r="AF76" s="953">
        <v>0</v>
      </c>
      <c r="AG76" s="954">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952">
        <v>0</v>
      </c>
      <c r="AF77" s="953">
        <v>0</v>
      </c>
      <c r="AG77" s="954">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952">
        <v>0</v>
      </c>
      <c r="AF78" s="953">
        <v>0</v>
      </c>
      <c r="AG78" s="954">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952">
        <v>0</v>
      </c>
      <c r="AF79" s="953">
        <v>0</v>
      </c>
      <c r="AG79" s="954">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952">
        <v>0</v>
      </c>
      <c r="AF80" s="953">
        <v>0</v>
      </c>
      <c r="AG80" s="954">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952">
        <v>0</v>
      </c>
      <c r="AF81" s="953">
        <v>0</v>
      </c>
      <c r="AG81" s="954">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952">
        <v>0</v>
      </c>
      <c r="AF82" s="953">
        <v>0</v>
      </c>
      <c r="AG82" s="954">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952">
        <v>0</v>
      </c>
      <c r="AF83" s="953">
        <v>0</v>
      </c>
      <c r="AG83" s="954">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952">
        <v>0</v>
      </c>
      <c r="AF84" s="953">
        <v>0</v>
      </c>
      <c r="AG84" s="954">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952">
        <v>0</v>
      </c>
      <c r="AF85" s="953">
        <v>0</v>
      </c>
      <c r="AG85" s="954">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952">
        <v>0</v>
      </c>
      <c r="AF86" s="953">
        <v>0</v>
      </c>
      <c r="AG86" s="954">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952">
        <v>0</v>
      </c>
      <c r="AF87" s="953">
        <v>0</v>
      </c>
      <c r="AG87" s="954">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952">
        <v>0</v>
      </c>
      <c r="AF88" s="953">
        <v>0</v>
      </c>
      <c r="AG88" s="954">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952">
        <v>0</v>
      </c>
      <c r="AF89" s="953">
        <v>0</v>
      </c>
      <c r="AG89" s="954">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952">
        <v>0</v>
      </c>
      <c r="AF90" s="953">
        <v>0</v>
      </c>
      <c r="AG90" s="954">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952">
        <v>0</v>
      </c>
      <c r="AF91" s="953">
        <v>0</v>
      </c>
      <c r="AG91" s="954">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952">
        <v>0</v>
      </c>
      <c r="AF92" s="953">
        <v>0</v>
      </c>
      <c r="AG92" s="954">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952">
        <v>0</v>
      </c>
      <c r="AF93" s="953">
        <v>0</v>
      </c>
      <c r="AG93" s="954">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952">
        <v>0</v>
      </c>
      <c r="AF94" s="953">
        <v>0</v>
      </c>
      <c r="AG94" s="954">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952">
        <v>0</v>
      </c>
      <c r="AF95" s="953">
        <v>0</v>
      </c>
      <c r="AG95" s="954">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952">
        <v>0</v>
      </c>
      <c r="AF96" s="953">
        <v>0</v>
      </c>
      <c r="AG96" s="954">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952">
        <v>0</v>
      </c>
      <c r="AF97" s="953">
        <v>0</v>
      </c>
      <c r="AG97" s="954">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952">
        <v>0</v>
      </c>
      <c r="AF98" s="953">
        <v>0</v>
      </c>
      <c r="AG98" s="954">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952">
        <v>0</v>
      </c>
      <c r="AF99" s="953">
        <v>0</v>
      </c>
      <c r="AG99" s="954">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952">
        <v>0</v>
      </c>
      <c r="AF100" s="953">
        <v>0</v>
      </c>
      <c r="AG100" s="954">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952">
        <v>0</v>
      </c>
      <c r="AF101" s="953">
        <v>0</v>
      </c>
      <c r="AG101" s="954">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952">
        <v>0</v>
      </c>
      <c r="AF102" s="953">
        <v>0</v>
      </c>
      <c r="AG102" s="954">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952">
        <v>0</v>
      </c>
      <c r="AF103" s="953">
        <v>0</v>
      </c>
      <c r="AG103" s="954">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952">
        <v>0</v>
      </c>
      <c r="AF104" s="953">
        <v>0</v>
      </c>
      <c r="AG104" s="954">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952">
        <v>0</v>
      </c>
      <c r="AF105" s="953">
        <v>0</v>
      </c>
      <c r="AG105" s="954">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952">
        <v>0</v>
      </c>
      <c r="AF106" s="953">
        <v>0</v>
      </c>
      <c r="AG106" s="954">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952">
        <v>0</v>
      </c>
      <c r="AF107" s="953">
        <v>0</v>
      </c>
      <c r="AG107" s="954">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952">
        <v>0</v>
      </c>
      <c r="AF108" s="953">
        <v>0</v>
      </c>
      <c r="AG108" s="954">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952">
        <v>0</v>
      </c>
      <c r="AF109" s="953">
        <v>0</v>
      </c>
      <c r="AG109" s="954">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952">
        <v>0</v>
      </c>
      <c r="AF110" s="953">
        <v>0</v>
      </c>
      <c r="AG110" s="954">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952">
        <v>0</v>
      </c>
      <c r="AF111" s="953">
        <v>0</v>
      </c>
      <c r="AG111" s="954">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952">
        <v>0</v>
      </c>
      <c r="AF112" s="953">
        <v>0</v>
      </c>
      <c r="AG112" s="954">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952">
        <v>0</v>
      </c>
      <c r="AF113" s="953">
        <v>0</v>
      </c>
      <c r="AG113" s="954">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952">
        <v>0</v>
      </c>
      <c r="AF114" s="953">
        <v>0</v>
      </c>
      <c r="AG114" s="954">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952">
        <v>0</v>
      </c>
      <c r="AF115" s="953">
        <v>0</v>
      </c>
      <c r="AG115" s="954">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952">
        <v>0</v>
      </c>
      <c r="AF116" s="953">
        <v>0</v>
      </c>
      <c r="AG116" s="954">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952">
        <v>0</v>
      </c>
      <c r="AF117" s="953">
        <v>0</v>
      </c>
      <c r="AG117" s="954">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952">
        <v>0</v>
      </c>
      <c r="AF118" s="953">
        <v>0</v>
      </c>
      <c r="AG118" s="954">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952">
        <v>0</v>
      </c>
      <c r="AF119" s="953">
        <v>0</v>
      </c>
      <c r="AG119" s="954">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952">
        <v>0</v>
      </c>
      <c r="AF120" s="953">
        <v>0</v>
      </c>
      <c r="AG120" s="954">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952">
        <v>0</v>
      </c>
      <c r="AF121" s="953">
        <v>0</v>
      </c>
      <c r="AG121" s="954">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952">
        <v>0</v>
      </c>
      <c r="AF122" s="953">
        <v>0</v>
      </c>
      <c r="AG122" s="954">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952">
        <v>0</v>
      </c>
      <c r="AF123" s="953">
        <v>0</v>
      </c>
      <c r="AG123" s="954">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952">
        <v>0</v>
      </c>
      <c r="AF124" s="953">
        <v>0</v>
      </c>
      <c r="AG124" s="954">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952">
        <v>0</v>
      </c>
      <c r="AF125" s="953">
        <v>0</v>
      </c>
      <c r="AG125" s="954">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952">
        <v>0</v>
      </c>
      <c r="AF126" s="953">
        <v>0</v>
      </c>
      <c r="AG126" s="954">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952">
        <v>0</v>
      </c>
      <c r="AF127" s="953">
        <v>0</v>
      </c>
      <c r="AG127" s="954">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952">
        <v>0</v>
      </c>
      <c r="AF128" s="953">
        <v>0</v>
      </c>
      <c r="AG128" s="954">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952">
        <v>0</v>
      </c>
      <c r="AF129" s="953">
        <v>0</v>
      </c>
      <c r="AG129" s="954">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952">
        <v>0</v>
      </c>
      <c r="AF130" s="953">
        <v>0</v>
      </c>
      <c r="AG130" s="954">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952">
        <v>0</v>
      </c>
      <c r="AF131" s="953">
        <v>0</v>
      </c>
      <c r="AG131" s="954">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952">
        <v>0</v>
      </c>
      <c r="AF132" s="953">
        <v>0</v>
      </c>
      <c r="AG132" s="954">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952">
        <v>0</v>
      </c>
      <c r="AF133" s="953">
        <v>0</v>
      </c>
      <c r="AG133" s="954">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952">
        <v>0</v>
      </c>
      <c r="AF134" s="953">
        <v>0</v>
      </c>
      <c r="AG134" s="954">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952">
        <v>0</v>
      </c>
      <c r="AF135" s="953">
        <v>0</v>
      </c>
      <c r="AG135" s="954">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952">
        <v>0</v>
      </c>
      <c r="AF136" s="953">
        <v>0</v>
      </c>
      <c r="AG136" s="954">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952">
        <v>0</v>
      </c>
      <c r="AF137" s="953">
        <v>0</v>
      </c>
      <c r="AG137" s="954">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952">
        <v>0</v>
      </c>
      <c r="AF138" s="953">
        <v>0</v>
      </c>
      <c r="AG138" s="954">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952">
        <v>0</v>
      </c>
      <c r="AF139" s="953">
        <v>0</v>
      </c>
      <c r="AG139" s="954">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952">
        <v>0</v>
      </c>
      <c r="AF140" s="953">
        <v>0</v>
      </c>
      <c r="AG140" s="954">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952">
        <v>0</v>
      </c>
      <c r="AF141" s="953">
        <v>0</v>
      </c>
      <c r="AG141" s="954">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952">
        <v>0</v>
      </c>
      <c r="AF142" s="953">
        <v>0</v>
      </c>
      <c r="AG142" s="954">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952">
        <v>0</v>
      </c>
      <c r="AF143" s="953">
        <v>0</v>
      </c>
      <c r="AG143" s="954">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952">
        <v>0</v>
      </c>
      <c r="AF144" s="953">
        <v>0</v>
      </c>
      <c r="AG144" s="954">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952">
        <v>0</v>
      </c>
      <c r="AF145" s="953">
        <v>0</v>
      </c>
      <c r="AG145" s="954">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952">
        <v>0</v>
      </c>
      <c r="AF146" s="953">
        <v>0</v>
      </c>
      <c r="AG146" s="954">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952">
        <v>0</v>
      </c>
      <c r="AF147" s="953">
        <v>0</v>
      </c>
      <c r="AG147" s="954">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952">
        <v>0</v>
      </c>
      <c r="AF148" s="953">
        <v>0</v>
      </c>
      <c r="AG148" s="954">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952">
        <v>0</v>
      </c>
      <c r="AF149" s="953">
        <v>0</v>
      </c>
      <c r="AG149" s="954">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952">
        <v>0</v>
      </c>
      <c r="AF150" s="953">
        <v>0</v>
      </c>
      <c r="AG150" s="954">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952">
        <v>0</v>
      </c>
      <c r="AF151" s="953">
        <v>0</v>
      </c>
      <c r="AG151" s="954">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952">
        <v>0</v>
      </c>
      <c r="AF152" s="953">
        <v>0</v>
      </c>
      <c r="AG152" s="954">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952">
        <v>0</v>
      </c>
      <c r="AF153" s="953">
        <v>0</v>
      </c>
      <c r="AG153" s="954">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952">
        <v>0</v>
      </c>
      <c r="AF154" s="953">
        <v>0</v>
      </c>
      <c r="AG154" s="954">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952">
        <v>0</v>
      </c>
      <c r="AF155" s="953">
        <v>0</v>
      </c>
      <c r="AG155" s="954">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952">
        <v>0</v>
      </c>
      <c r="AF156" s="953">
        <v>0</v>
      </c>
      <c r="AG156" s="954">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952">
        <v>0</v>
      </c>
      <c r="AF157" s="953">
        <v>0</v>
      </c>
      <c r="AG157" s="954">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952">
        <v>0</v>
      </c>
      <c r="AF158" s="953">
        <v>0</v>
      </c>
      <c r="AG158" s="954">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952">
        <v>0</v>
      </c>
      <c r="AF159" s="953">
        <v>0</v>
      </c>
      <c r="AG159" s="954">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952">
        <v>0</v>
      </c>
      <c r="AF160" s="953">
        <v>0</v>
      </c>
      <c r="AG160" s="954">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952">
        <v>0</v>
      </c>
      <c r="AF161" s="953">
        <v>0</v>
      </c>
      <c r="AG161" s="954">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952">
        <v>0</v>
      </c>
      <c r="AF162" s="953">
        <v>0</v>
      </c>
      <c r="AG162" s="954">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952">
        <v>0</v>
      </c>
      <c r="AF163" s="953">
        <v>0</v>
      </c>
      <c r="AG163" s="954">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952">
        <v>0</v>
      </c>
      <c r="AF164" s="953">
        <v>0</v>
      </c>
      <c r="AG164" s="954">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952">
        <v>0</v>
      </c>
      <c r="AF165" s="953">
        <v>0</v>
      </c>
      <c r="AG165" s="954">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952">
        <v>0</v>
      </c>
      <c r="AF166" s="953">
        <v>0</v>
      </c>
      <c r="AG166" s="954">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952">
        <v>0</v>
      </c>
      <c r="AF167" s="953">
        <v>0</v>
      </c>
      <c r="AG167" s="954">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952">
        <v>0</v>
      </c>
      <c r="AF168" s="953">
        <v>0</v>
      </c>
      <c r="AG168" s="954">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952">
        <v>0</v>
      </c>
      <c r="AF169" s="953">
        <v>0</v>
      </c>
      <c r="AG169" s="954">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952">
        <v>0</v>
      </c>
      <c r="AF170" s="953">
        <v>0</v>
      </c>
      <c r="AG170" s="954">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952">
        <v>0</v>
      </c>
      <c r="AF171" s="953">
        <v>0</v>
      </c>
      <c r="AG171" s="954">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952">
        <v>0</v>
      </c>
      <c r="AF172" s="953">
        <v>0</v>
      </c>
      <c r="AG172" s="954">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952">
        <v>0</v>
      </c>
      <c r="AF173" s="953">
        <v>0</v>
      </c>
      <c r="AG173" s="954">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952">
        <v>0</v>
      </c>
      <c r="AF174" s="953">
        <v>0</v>
      </c>
      <c r="AG174" s="954">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952">
        <v>0</v>
      </c>
      <c r="AF175" s="953">
        <v>0</v>
      </c>
      <c r="AG175" s="954">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952">
        <v>0</v>
      </c>
      <c r="AF176" s="953">
        <v>0</v>
      </c>
      <c r="AG176" s="954">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952">
        <v>0</v>
      </c>
      <c r="AF177" s="953">
        <v>0</v>
      </c>
      <c r="AG177" s="954">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952">
        <v>0</v>
      </c>
      <c r="AF178" s="953">
        <v>0</v>
      </c>
      <c r="AG178" s="954">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952">
        <v>0</v>
      </c>
      <c r="AF179" s="953">
        <v>0</v>
      </c>
      <c r="AG179" s="954">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952">
        <v>0</v>
      </c>
      <c r="AF180" s="953">
        <v>0</v>
      </c>
      <c r="AG180" s="954">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952">
        <v>0</v>
      </c>
      <c r="AF181" s="953">
        <v>0</v>
      </c>
      <c r="AG181" s="954">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952">
        <v>0</v>
      </c>
      <c r="AF182" s="953">
        <v>0</v>
      </c>
      <c r="AG182" s="954">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952">
        <v>0</v>
      </c>
      <c r="AF183" s="953">
        <v>0</v>
      </c>
      <c r="AG183" s="954">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952">
        <v>0</v>
      </c>
      <c r="AF184" s="953">
        <v>0</v>
      </c>
      <c r="AG184" s="954">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952">
        <v>0</v>
      </c>
      <c r="AF185" s="953">
        <v>0</v>
      </c>
      <c r="AG185" s="954">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952">
        <v>0</v>
      </c>
      <c r="AF186" s="953">
        <v>0</v>
      </c>
      <c r="AG186" s="954">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952">
        <v>0</v>
      </c>
      <c r="AF187" s="953">
        <v>0</v>
      </c>
      <c r="AG187" s="954">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952">
        <v>0</v>
      </c>
      <c r="AF188" s="953">
        <v>0</v>
      </c>
      <c r="AG188" s="954">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952">
        <v>0</v>
      </c>
      <c r="AF189" s="953">
        <v>0</v>
      </c>
      <c r="AG189" s="954">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952">
        <v>0</v>
      </c>
      <c r="AF190" s="953">
        <v>0</v>
      </c>
      <c r="AG190" s="954">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952">
        <v>0</v>
      </c>
      <c r="AF191" s="953">
        <v>0</v>
      </c>
      <c r="AG191" s="954">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952">
        <v>0</v>
      </c>
      <c r="AF192" s="953">
        <v>0</v>
      </c>
      <c r="AG192" s="954">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952">
        <v>0</v>
      </c>
      <c r="AF193" s="953">
        <v>0</v>
      </c>
      <c r="AG193" s="954">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952">
        <v>0</v>
      </c>
      <c r="AF194" s="953">
        <v>0</v>
      </c>
      <c r="AG194" s="954">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952">
        <v>0</v>
      </c>
      <c r="AF195" s="953">
        <v>0</v>
      </c>
      <c r="AG195" s="954">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952">
        <v>0</v>
      </c>
      <c r="AF196" s="953">
        <v>0</v>
      </c>
      <c r="AG196" s="954">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952">
        <v>0</v>
      </c>
      <c r="AF197" s="953">
        <v>0</v>
      </c>
      <c r="AG197" s="954">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952">
        <v>0</v>
      </c>
      <c r="AF198" s="953">
        <v>0</v>
      </c>
      <c r="AG198" s="954">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952">
        <v>0</v>
      </c>
      <c r="AF199" s="953">
        <v>0</v>
      </c>
      <c r="AG199" s="954">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952">
        <v>0</v>
      </c>
      <c r="AF200" s="953">
        <v>0</v>
      </c>
      <c r="AG200" s="954">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955">
        <v>0</v>
      </c>
      <c r="AF201" s="956">
        <v>0</v>
      </c>
      <c r="AG201" s="957">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60" zoomScale="70" zoomScaleNormal="70" workbookViewId="0">
      <selection activeCell="A88" sqref="A88:B100"/>
    </sheetView>
  </sheetViews>
  <sheetFormatPr defaultRowHeight="14.4"/>
  <cols>
    <col min="1" max="2" width="80.6640625" style="16" customWidth="1"/>
    <col min="3" max="3" width="30.6640625" customWidth="1"/>
    <col min="4" max="4" width="39.109375" style="16" customWidth="1"/>
    <col min="5" max="5" width="56.6640625" customWidth="1"/>
    <col min="6" max="6" width="38.88671875" bestFit="1" customWidth="1"/>
    <col min="7" max="7" width="48.6640625" bestFit="1" customWidth="1"/>
    <col min="8" max="8" width="32.5546875" bestFit="1" customWidth="1"/>
  </cols>
  <sheetData>
    <row r="1" spans="1:8" s="8" customFormat="1" ht="30" customHeight="1">
      <c r="A1" s="457" t="s">
        <v>1327</v>
      </c>
      <c r="B1" s="597" t="s">
        <v>1328</v>
      </c>
      <c r="C1" s="598" t="s">
        <v>1329</v>
      </c>
      <c r="D1" s="596" t="s">
        <v>1330</v>
      </c>
      <c r="E1" s="630" t="s">
        <v>1331</v>
      </c>
      <c r="F1" s="630" t="s">
        <v>1332</v>
      </c>
      <c r="G1" s="627" t="s">
        <v>1333</v>
      </c>
      <c r="H1"/>
    </row>
    <row r="2" spans="1:8">
      <c r="A2" s="224" t="s">
        <v>138</v>
      </c>
      <c r="B2" s="599" t="s">
        <v>1156</v>
      </c>
      <c r="C2" s="224" t="b">
        <f>NOT(ISERROR(MATCH(B2, D:D, 0)))</f>
        <v>1</v>
      </c>
      <c r="D2" s="458" t="str">
        <f>Lifetimes!B1</f>
        <v>AgriculturalFilmsIU</v>
      </c>
      <c r="E2" s="631" t="str" cm="1">
        <f t="array" ref="E2:E86">_xlfn._xlws.FILTER(Compartments!A2:A241, Compartments!B2:B241="stock")</f>
        <v>Agricultural packaging bottles</v>
      </c>
      <c r="F2" s="224" t="str" cm="1">
        <f t="array" ref="F2:F86">_xlfn._xlws.FILTER(Compartments!C2:C241, Compartments!B2:B241="stock")</f>
        <v>AgriculturalPackagingBottles</v>
      </c>
      <c r="G2" s="224" t="b">
        <f>NOT(ISERROR(MATCH(E2, A:A, 0)))</f>
        <v>1</v>
      </c>
      <c r="H2" s="626"/>
    </row>
    <row r="3" spans="1:8">
      <c r="A3" s="224" t="s">
        <v>443</v>
      </c>
      <c r="B3" s="599" t="s">
        <v>1308</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445</v>
      </c>
      <c r="B4" s="599" t="s">
        <v>1310</v>
      </c>
      <c r="C4" s="224" t="b">
        <f t="shared" si="0"/>
        <v>1</v>
      </c>
      <c r="D4" s="458" t="str">
        <f>Lifetimes!D1</f>
        <v>AgriculturalPackagingBottles</v>
      </c>
      <c r="E4" s="224" t="str">
        <v>Agricultural pipes (in use)</v>
      </c>
      <c r="F4" s="224" t="str">
        <v>AgriculturalPipesIU</v>
      </c>
      <c r="G4" s="224" t="b">
        <f t="shared" si="1"/>
        <v>1</v>
      </c>
      <c r="H4" s="626"/>
    </row>
    <row r="5" spans="1:8">
      <c r="A5" s="224" t="s">
        <v>444</v>
      </c>
      <c r="B5" s="599" t="s">
        <v>1307</v>
      </c>
      <c r="C5" s="224" t="b">
        <f t="shared" si="0"/>
        <v>1</v>
      </c>
      <c r="D5" s="458" t="str">
        <f>Lifetimes!E1</f>
        <v>AgriculturalPackagingFilms</v>
      </c>
      <c r="E5" s="224" t="str">
        <v>Agricultural greenhouse films (in use)</v>
      </c>
      <c r="F5" s="224" t="str">
        <v>AgriculturalFilmsIU</v>
      </c>
      <c r="G5" s="224" t="b">
        <f t="shared" si="1"/>
        <v>1</v>
      </c>
      <c r="H5" s="626"/>
    </row>
    <row r="6" spans="1:8">
      <c r="A6" s="224" t="s">
        <v>446</v>
      </c>
      <c r="B6" s="599" t="s">
        <v>1309</v>
      </c>
      <c r="C6" s="224" t="b">
        <f t="shared" si="0"/>
        <v>1</v>
      </c>
      <c r="D6" s="458" t="str">
        <f>Lifetimes!F1</f>
        <v>AgriculturalPipesIU</v>
      </c>
      <c r="E6" s="224" t="str">
        <v>Agricultural pipes (discarded)</v>
      </c>
      <c r="F6" s="224" t="str">
        <v>AgriculturalPipesDis</v>
      </c>
      <c r="G6" s="224" t="b">
        <f t="shared" si="1"/>
        <v>1</v>
      </c>
      <c r="H6" s="626"/>
    </row>
    <row r="7" spans="1:8">
      <c r="A7" s="224" t="s">
        <v>451</v>
      </c>
      <c r="B7" s="599" t="s">
        <v>1278</v>
      </c>
      <c r="C7" s="224" t="b">
        <f t="shared" si="0"/>
        <v>1</v>
      </c>
      <c r="D7" s="458" t="str">
        <f>Lifetimes!G1</f>
        <v>AgriculturalPipesDis</v>
      </c>
      <c r="E7" s="224" t="str">
        <v>Agricultural greenhouse films (discarded)</v>
      </c>
      <c r="F7" s="224" t="str">
        <v>AgriculturalFilmsDis</v>
      </c>
      <c r="G7" s="224" t="b">
        <f t="shared" si="1"/>
        <v>1</v>
      </c>
      <c r="H7" s="626"/>
    </row>
    <row r="8" spans="1:8">
      <c r="A8" s="224" t="s">
        <v>452</v>
      </c>
      <c r="B8" s="599" t="s">
        <v>1276</v>
      </c>
      <c r="C8" s="224" t="b">
        <f t="shared" si="0"/>
        <v>1</v>
      </c>
      <c r="D8" s="458" t="str">
        <f>Lifetimes!H1</f>
        <v>AgriculturalPPP</v>
      </c>
      <c r="E8" s="224" t="str">
        <v>Agrotextiles (discarded)</v>
      </c>
      <c r="F8" s="224" t="str">
        <v>AgrotextilesDis</v>
      </c>
      <c r="G8" s="224" t="b">
        <f t="shared" si="1"/>
        <v>1</v>
      </c>
      <c r="H8" s="626"/>
    </row>
    <row r="9" spans="1:8">
      <c r="A9" s="224" t="s">
        <v>450</v>
      </c>
      <c r="B9" s="599" t="s">
        <v>1277</v>
      </c>
      <c r="C9" s="224" t="b">
        <f t="shared" si="0"/>
        <v>1</v>
      </c>
      <c r="D9" s="458" t="str">
        <f>Lifetimes!I1</f>
        <v>BuildingPackagingFilms</v>
      </c>
      <c r="E9" s="224" t="str">
        <v>Agrotextiles (in use)</v>
      </c>
      <c r="F9" s="224" t="str">
        <v>AgrotextilesIU</v>
      </c>
      <c r="G9" s="224" t="b">
        <f t="shared" si="1"/>
        <v>1</v>
      </c>
      <c r="H9" s="626"/>
    </row>
    <row r="10" spans="1:8">
      <c r="A10" s="224" t="s">
        <v>447</v>
      </c>
      <c r="B10" s="599" t="s">
        <v>1275</v>
      </c>
      <c r="C10" s="224" t="b">
        <f t="shared" si="0"/>
        <v>1</v>
      </c>
      <c r="D10" s="458" t="str">
        <f>Lifetimes!J1</f>
        <v>ConsumerBags</v>
      </c>
      <c r="E10" s="224" t="str">
        <v>Building textiles (discarded)</v>
      </c>
      <c r="F10" s="224" t="str">
        <v>BuildingTextilesDis</v>
      </c>
      <c r="G10" s="224" t="b">
        <f t="shared" si="1"/>
        <v>1</v>
      </c>
      <c r="H10" s="626"/>
    </row>
    <row r="11" spans="1:8">
      <c r="A11" s="224" t="s">
        <v>455</v>
      </c>
      <c r="B11" s="599" t="s">
        <v>1286</v>
      </c>
      <c r="C11" s="224" t="b">
        <f t="shared" si="0"/>
        <v>1</v>
      </c>
      <c r="D11" s="458" t="str">
        <f>Lifetimes!K1</f>
        <v>ConsumerBottles</v>
      </c>
      <c r="E11" s="224" t="str">
        <v>Building textiles (in use)</v>
      </c>
      <c r="F11" s="224" t="str">
        <v>BuildingTextilesIU</v>
      </c>
      <c r="G11" s="224" t="b">
        <f t="shared" si="1"/>
        <v>1</v>
      </c>
      <c r="H11" s="626"/>
    </row>
    <row r="12" spans="1:8">
      <c r="A12" s="224" t="s">
        <v>457</v>
      </c>
      <c r="B12" s="599" t="s">
        <v>1284</v>
      </c>
      <c r="C12" s="224" t="b">
        <f t="shared" si="0"/>
        <v>1</v>
      </c>
      <c r="D12" s="458" t="str">
        <f>Lifetimes!L1</f>
        <v>ConsumerFilms</v>
      </c>
      <c r="E12" s="224" t="str">
        <v>Geotextiles (discarded)</v>
      </c>
      <c r="F12" s="224" t="str">
        <v>GeotextilesDis</v>
      </c>
      <c r="G12" s="224" t="b">
        <f t="shared" si="1"/>
        <v>1</v>
      </c>
      <c r="H12" s="626"/>
    </row>
    <row r="13" spans="1:8">
      <c r="A13" s="224" t="s">
        <v>456</v>
      </c>
      <c r="B13" s="599" t="s">
        <v>1285</v>
      </c>
      <c r="C13" s="224" t="b">
        <f t="shared" si="0"/>
        <v>1</v>
      </c>
      <c r="D13" s="458" t="str">
        <f>Lifetimes!M1</f>
        <v>ConsumerOther</v>
      </c>
      <c r="E13" s="224" t="str">
        <v>Geotextiles (in use)</v>
      </c>
      <c r="F13" s="224" t="str">
        <v>GeotextilesIU</v>
      </c>
      <c r="G13" s="224" t="b">
        <f t="shared" si="1"/>
        <v>1</v>
      </c>
    </row>
    <row r="14" spans="1:8">
      <c r="A14" s="224" t="s">
        <v>458</v>
      </c>
      <c r="B14" s="599" t="s">
        <v>1283</v>
      </c>
      <c r="C14" s="224" t="b">
        <f t="shared" si="0"/>
        <v>1</v>
      </c>
      <c r="D14" s="458" t="str">
        <f>Lifetimes!N1</f>
        <v>Cosmetics</v>
      </c>
      <c r="E14" s="224" t="str">
        <v>Consumer bags</v>
      </c>
      <c r="F14" s="224" t="str">
        <v>ConsumerBags</v>
      </c>
      <c r="G14" s="224" t="b">
        <f t="shared" si="1"/>
        <v>1</v>
      </c>
    </row>
    <row r="15" spans="1:8">
      <c r="A15" s="224" t="s">
        <v>462</v>
      </c>
      <c r="B15" s="599" t="s">
        <v>1326</v>
      </c>
      <c r="C15" s="224" t="b">
        <f t="shared" si="0"/>
        <v>1</v>
      </c>
      <c r="D15" s="458" t="str">
        <f>Lifetimes!O1</f>
        <v>Household</v>
      </c>
      <c r="E15" s="224" t="str">
        <v>Consumer bottles</v>
      </c>
      <c r="F15" s="224" t="str">
        <v>ConsumerBottles</v>
      </c>
      <c r="G15" s="224" t="b">
        <f t="shared" si="1"/>
        <v>1</v>
      </c>
    </row>
    <row r="16" spans="1:8">
      <c r="A16" s="224" t="s">
        <v>464</v>
      </c>
      <c r="B16" s="599" t="s">
        <v>1324</v>
      </c>
      <c r="C16" s="224" t="b">
        <f t="shared" si="0"/>
        <v>1</v>
      </c>
      <c r="D16" s="458" t="str">
        <f>Lifetimes!P1</f>
        <v>NonConsumerBags</v>
      </c>
      <c r="E16" s="224" t="str">
        <v>Consumer films</v>
      </c>
      <c r="F16" s="224" t="str">
        <v>ConsumerFilms</v>
      </c>
      <c r="G16" s="224" t="b">
        <f t="shared" si="1"/>
        <v>1</v>
      </c>
    </row>
    <row r="17" spans="1:7">
      <c r="A17" s="224" t="s">
        <v>463</v>
      </c>
      <c r="B17" s="599" t="s">
        <v>1325</v>
      </c>
      <c r="C17" s="224" t="b">
        <f t="shared" si="0"/>
        <v>1</v>
      </c>
      <c r="D17" s="458" t="str">
        <f>Lifetimes!Q1</f>
        <v>NonConsumerOther</v>
      </c>
      <c r="E17" s="224" t="str">
        <v>Other consumer packaging</v>
      </c>
      <c r="F17" s="224" t="str">
        <v>ConsumerOther</v>
      </c>
      <c r="G17" s="224" t="b">
        <f t="shared" si="1"/>
        <v>1</v>
      </c>
    </row>
    <row r="18" spans="1:7">
      <c r="A18" s="224" t="s">
        <v>465</v>
      </c>
      <c r="B18" s="599" t="s">
        <v>1323</v>
      </c>
      <c r="C18" s="224" t="b">
        <f t="shared" si="0"/>
        <v>1</v>
      </c>
      <c r="D18" s="458" t="str">
        <f>Lifetimes!R1</f>
        <v>OtherNonConsumerFilms</v>
      </c>
      <c r="E18" s="224" t="str">
        <v>Home textiles (discarded)</v>
      </c>
      <c r="F18" s="224" t="str">
        <v>HomeTextilesDis</v>
      </c>
      <c r="G18" s="224" t="b">
        <f t="shared" si="1"/>
        <v>1</v>
      </c>
    </row>
    <row r="19" spans="1:7">
      <c r="A19" s="224" t="s">
        <v>469</v>
      </c>
      <c r="B19" s="599" t="s">
        <v>1318</v>
      </c>
      <c r="C19" s="224" t="b">
        <f t="shared" si="0"/>
        <v>1</v>
      </c>
      <c r="D19" s="458" t="str">
        <f>Lifetimes!S1</f>
        <v>OtherOther</v>
      </c>
      <c r="E19" s="224" t="str">
        <v>Home textiles (in use)</v>
      </c>
      <c r="F19" s="224" t="str">
        <v>HomeTextilesIU</v>
      </c>
      <c r="G19" s="224" t="b">
        <f t="shared" si="1"/>
        <v>1</v>
      </c>
    </row>
    <row r="20" spans="1:7">
      <c r="A20" s="224" t="s">
        <v>471</v>
      </c>
      <c r="B20" s="599" t="s">
        <v>1316</v>
      </c>
      <c r="C20" s="224" t="b">
        <f t="shared" si="0"/>
        <v>1</v>
      </c>
      <c r="D20" s="458" t="str">
        <f>Lifetimes!T1</f>
        <v>PipesDucts</v>
      </c>
      <c r="E20" s="224" t="str">
        <v>Non-consumer bags</v>
      </c>
      <c r="F20" s="224" t="str">
        <v>NonConsumerBags</v>
      </c>
      <c r="G20" s="224" t="b">
        <f t="shared" si="1"/>
        <v>1</v>
      </c>
    </row>
    <row r="21" spans="1:7">
      <c r="A21" s="224" t="s">
        <v>470</v>
      </c>
      <c r="B21" s="599" t="s">
        <v>1317</v>
      </c>
      <c r="C21" s="224" t="b">
        <f t="shared" si="0"/>
        <v>1</v>
      </c>
      <c r="D21" s="458" t="str">
        <f>Lifetimes!U1</f>
        <v>OtherOilGas</v>
      </c>
      <c r="E21" s="224" t="str">
        <v>Other non-consumer films</v>
      </c>
      <c r="F21" s="224" t="str">
        <v>OtherNonConsumerFilms</v>
      </c>
      <c r="G21" s="224" t="b">
        <f t="shared" si="1"/>
        <v>1</v>
      </c>
    </row>
    <row r="22" spans="1:7">
      <c r="A22" s="224" t="s">
        <v>472</v>
      </c>
      <c r="B22" s="599" t="s">
        <v>1315</v>
      </c>
      <c r="C22" s="224" t="b">
        <f t="shared" si="0"/>
        <v>1</v>
      </c>
      <c r="D22" s="458" t="str">
        <f>Lifetimes!V1</f>
        <v>InfillSportsFieldDis</v>
      </c>
      <c r="E22" s="224" t="str">
        <v>Other non-consumer packaging</v>
      </c>
      <c r="F22" s="224" t="str">
        <v>NonConsumerOther</v>
      </c>
      <c r="G22" s="224" t="b">
        <f t="shared" si="1"/>
        <v>1</v>
      </c>
    </row>
    <row r="23" spans="1:7">
      <c r="A23" s="224" t="s">
        <v>477</v>
      </c>
      <c r="B23" s="599" t="s">
        <v>1306</v>
      </c>
      <c r="C23" s="224" t="b">
        <f t="shared" si="0"/>
        <v>1</v>
      </c>
      <c r="D23" s="458" t="str">
        <f>Lifetimes!W1</f>
        <v>InfillSportsFieldU</v>
      </c>
      <c r="E23" s="224" t="str">
        <v>Other technical textiles</v>
      </c>
      <c r="F23" s="224" t="str">
        <v>OtherTechnicalTextiles</v>
      </c>
      <c r="G23" s="224" t="b">
        <f t="shared" si="1"/>
        <v>1</v>
      </c>
    </row>
    <row r="24" spans="1:7">
      <c r="A24" s="224" t="s">
        <v>479</v>
      </c>
      <c r="B24" s="599" t="s">
        <v>1304</v>
      </c>
      <c r="C24" s="224" t="b">
        <f t="shared" si="0"/>
        <v>1</v>
      </c>
      <c r="D24" s="458" t="str">
        <f>Lifetimes!AE1</f>
        <v>ClothingDis</v>
      </c>
      <c r="E24" s="224" t="str">
        <v>Technical home textiles (discarded)</v>
      </c>
      <c r="F24" s="224" t="str">
        <v>TechHomeTextilesDis</v>
      </c>
      <c r="G24" s="224" t="b">
        <f t="shared" si="1"/>
        <v>1</v>
      </c>
    </row>
    <row r="25" spans="1:7">
      <c r="A25" s="224" t="s">
        <v>478</v>
      </c>
      <c r="B25" s="599" t="s">
        <v>1305</v>
      </c>
      <c r="C25" s="224" t="b">
        <f t="shared" si="0"/>
        <v>1</v>
      </c>
      <c r="D25" s="458" t="str">
        <f>Lifetimes!AF1</f>
        <v>ClothingIUWearTear</v>
      </c>
      <c r="E25" s="224" t="str">
        <v>Medical textiles</v>
      </c>
      <c r="F25" s="224" t="str">
        <v>MedicalTextiles</v>
      </c>
      <c r="G25" s="224" t="b">
        <f t="shared" si="1"/>
        <v>1</v>
      </c>
    </row>
    <row r="26" spans="1:7">
      <c r="A26" s="224" t="s">
        <v>480</v>
      </c>
      <c r="B26" s="599" t="s">
        <v>1303</v>
      </c>
      <c r="C26" s="224" t="b">
        <f t="shared" si="0"/>
        <v>1</v>
      </c>
      <c r="D26" s="458" t="str">
        <f>Lifetimes!AG1</f>
        <v>ClothingIUWashDry</v>
      </c>
      <c r="E26" s="224" t="str">
        <v>Mobility textiles</v>
      </c>
      <c r="F26" s="224" t="str">
        <v>MobilityTextiles</v>
      </c>
      <c r="G26" s="224" t="b">
        <f t="shared" si="1"/>
        <v>1</v>
      </c>
    </row>
    <row r="27" spans="1:7">
      <c r="A27" s="224" t="s">
        <v>483</v>
      </c>
      <c r="B27" s="599" t="s">
        <v>1294</v>
      </c>
      <c r="C27" s="224" t="b">
        <f t="shared" si="0"/>
        <v>1</v>
      </c>
      <c r="D27" s="458" t="str">
        <f>Lifetimes!AH1</f>
        <v>HomeTextilesDis</v>
      </c>
      <c r="E27" s="224" t="str">
        <v>Textile coating (discarded)</v>
      </c>
      <c r="F27" s="224" t="str">
        <v>TextileCoatingDis</v>
      </c>
      <c r="G27" s="224" t="b">
        <f t="shared" si="1"/>
        <v>1</v>
      </c>
    </row>
    <row r="28" spans="1:7">
      <c r="A28" s="224" t="s">
        <v>484</v>
      </c>
      <c r="B28" s="599" t="s">
        <v>1292</v>
      </c>
      <c r="C28" s="224" t="b">
        <f t="shared" si="0"/>
        <v>1</v>
      </c>
      <c r="D28" s="458" t="str">
        <f>Lifetimes!AI1</f>
        <v>HomeTextilesIU</v>
      </c>
      <c r="E28" s="224" t="str">
        <v>Infill material sports fields (in use)</v>
      </c>
      <c r="F28" s="224" t="str">
        <v>InfillSportsFieldU</v>
      </c>
      <c r="G28" s="224" t="b">
        <f t="shared" si="1"/>
        <v>1</v>
      </c>
    </row>
    <row r="29" spans="1:7">
      <c r="A29" s="224" t="s">
        <v>476</v>
      </c>
      <c r="B29" s="599" t="s">
        <v>1293</v>
      </c>
      <c r="C29" s="224" t="b">
        <f t="shared" si="0"/>
        <v>1</v>
      </c>
      <c r="D29" s="458" t="str">
        <f>Lifetimes!AJ1</f>
        <v>TechHomeTextilesDis</v>
      </c>
      <c r="E29" s="224" t="str">
        <v>Infill material sports fields (discarded)</v>
      </c>
      <c r="F29" s="224" t="str">
        <v>InfillSportsFieldDis</v>
      </c>
      <c r="G29" s="224" t="b">
        <f t="shared" si="1"/>
        <v>1</v>
      </c>
    </row>
    <row r="30" spans="1:7">
      <c r="A30" s="224" t="s">
        <v>473</v>
      </c>
      <c r="B30" s="599" t="s">
        <v>1291</v>
      </c>
      <c r="C30" s="224" t="b">
        <f t="shared" si="0"/>
        <v>1</v>
      </c>
      <c r="D30" s="458" t="str">
        <f>Lifetimes!AK1</f>
        <v>TechHomeTextilesIU</v>
      </c>
      <c r="E30" s="224" t="str">
        <v>Technical home textiles (in use)</v>
      </c>
      <c r="F30" s="224" t="str">
        <v>TechHomeTextilesIU</v>
      </c>
      <c r="G30" s="224" t="b">
        <f t="shared" si="1"/>
        <v>1</v>
      </c>
    </row>
    <row r="31" spans="1:7">
      <c r="A31" s="224" t="s">
        <v>489</v>
      </c>
      <c r="B31" s="599" t="s">
        <v>1298</v>
      </c>
      <c r="C31" s="224" t="b">
        <f t="shared" si="0"/>
        <v>1</v>
      </c>
      <c r="D31" s="458" t="str">
        <f>Lifetimes!AL1</f>
        <v>MedicalTextiles</v>
      </c>
      <c r="E31" s="224" t="str">
        <v>Textile coating (in use)</v>
      </c>
      <c r="F31" s="224" t="str">
        <v>TextileCoatingIU</v>
      </c>
      <c r="G31" s="224" t="b">
        <f t="shared" si="1"/>
        <v>1</v>
      </c>
    </row>
    <row r="32" spans="1:7">
      <c r="A32" s="224" t="s">
        <v>490</v>
      </c>
      <c r="B32" s="599" t="s">
        <v>1296</v>
      </c>
      <c r="C32" s="224" t="b">
        <f t="shared" si="0"/>
        <v>1</v>
      </c>
      <c r="D32" s="458" t="str">
        <f>Lifetimes!AM1</f>
        <v>AgrotextilesDis</v>
      </c>
      <c r="E32" s="224" t="str">
        <v>Ship paint (prof) (in use)</v>
      </c>
      <c r="F32" s="224" t="str">
        <v>ShipProfIU</v>
      </c>
      <c r="G32" s="224" t="b">
        <f t="shared" si="1"/>
        <v>1</v>
      </c>
    </row>
    <row r="33" spans="1:7">
      <c r="A33" s="224" t="s">
        <v>486</v>
      </c>
      <c r="B33" s="599" t="s">
        <v>1297</v>
      </c>
      <c r="C33" s="224" t="b">
        <f t="shared" si="0"/>
        <v>1</v>
      </c>
      <c r="D33" s="458" t="str">
        <f>Lifetimes!AN1</f>
        <v>AgrotextilesIU</v>
      </c>
      <c r="E33" s="224" t="str">
        <v>Ship paint (recr) (in use)</v>
      </c>
      <c r="F33" s="224" t="str">
        <v>ShipDiyIU</v>
      </c>
      <c r="G33" s="224" t="b">
        <f t="shared" si="1"/>
        <v>1</v>
      </c>
    </row>
    <row r="34" spans="1:7">
      <c r="A34" s="224" t="s">
        <v>485</v>
      </c>
      <c r="B34" s="599" t="s">
        <v>1295</v>
      </c>
      <c r="C34" s="224" t="b">
        <f t="shared" ref="C34:C58" si="2">NOT(ISERROR(MATCH(B34, D:D, 0)))</f>
        <v>1</v>
      </c>
      <c r="D34" s="458" t="str">
        <f>Lifetimes!AO1</f>
        <v>MobilityTextiles</v>
      </c>
      <c r="E34" s="224" t="str">
        <v>Ship paint (prof) (discarded)</v>
      </c>
      <c r="F34" s="224" t="str">
        <v>ShipProfDis</v>
      </c>
      <c r="G34" s="224" t="b">
        <f t="shared" si="1"/>
        <v>1</v>
      </c>
    </row>
    <row r="35" spans="1:7">
      <c r="A35" s="224" t="s">
        <v>493</v>
      </c>
      <c r="B35" s="599" t="s">
        <v>1282</v>
      </c>
      <c r="C35" s="224" t="b">
        <f t="shared" si="2"/>
        <v>1</v>
      </c>
      <c r="D35" s="458" t="str">
        <f>Lifetimes!AP1</f>
        <v>GeotextilesDis</v>
      </c>
      <c r="E35" s="224" t="str">
        <v>Ship paint (recr) (discarded)</v>
      </c>
      <c r="F35" s="224" t="str">
        <v>ShipDiyDis</v>
      </c>
      <c r="G35" s="224" t="b">
        <f t="shared" si="1"/>
        <v>1</v>
      </c>
    </row>
    <row r="36" spans="1:7">
      <c r="A36" s="224" t="s">
        <v>495</v>
      </c>
      <c r="B36" s="599" t="s">
        <v>1280</v>
      </c>
      <c r="C36" s="224" t="b">
        <f t="shared" si="2"/>
        <v>1</v>
      </c>
      <c r="D36" s="458" t="str">
        <f>Lifetimes!AQ1</f>
        <v>GeotextilesIU</v>
      </c>
      <c r="E36" s="224" t="str">
        <v>Concrete paint (prof) outdoor (in use)</v>
      </c>
      <c r="F36" s="224" t="str">
        <v>ConcreteProfOutIU</v>
      </c>
      <c r="G36" s="224" t="b">
        <f t="shared" si="1"/>
        <v>1</v>
      </c>
    </row>
    <row r="37" spans="1:7">
      <c r="A37" s="224" t="s">
        <v>494</v>
      </c>
      <c r="B37" s="599" t="s">
        <v>1281</v>
      </c>
      <c r="C37" s="224" t="b">
        <f t="shared" si="2"/>
        <v>1</v>
      </c>
      <c r="D37" s="458" t="str">
        <f>Lifetimes!AR1</f>
        <v>BuildingTextilesDis</v>
      </c>
      <c r="E37" s="224" t="str">
        <v>Concrete paint (prof) indoor (in use)</v>
      </c>
      <c r="F37" s="224" t="str">
        <v>ConcreteProfInIU</v>
      </c>
      <c r="G37" s="224" t="b">
        <f t="shared" si="1"/>
        <v>1</v>
      </c>
    </row>
    <row r="38" spans="1:7">
      <c r="A38" s="224" t="s">
        <v>496</v>
      </c>
      <c r="B38" s="599" t="s">
        <v>1279</v>
      </c>
      <c r="C38" s="224" t="b">
        <f t="shared" si="2"/>
        <v>1</v>
      </c>
      <c r="D38" s="458" t="str">
        <f>Lifetimes!AS1</f>
        <v>BuildingTextilesIU</v>
      </c>
      <c r="E38" s="224" t="str">
        <v>Concrete paint (prof) outdoor (discarded)</v>
      </c>
      <c r="F38" s="224" t="str">
        <v>ConcreteProfOutDis</v>
      </c>
      <c r="G38" s="224" t="b">
        <f t="shared" si="1"/>
        <v>1</v>
      </c>
    </row>
    <row r="39" spans="1:7">
      <c r="A39" s="224" t="s">
        <v>499</v>
      </c>
      <c r="B39" s="599" t="s">
        <v>1322</v>
      </c>
      <c r="C39" s="224" t="b">
        <f t="shared" si="2"/>
        <v>1</v>
      </c>
      <c r="D39" s="458" t="str">
        <f>Lifetimes!AT1</f>
        <v>OtherTechnicalTextiles</v>
      </c>
      <c r="E39" s="224" t="str">
        <v>Concrete paint (prof) indoor (discarded)</v>
      </c>
      <c r="F39" s="224" t="str">
        <v>ConcreteProfInDis</v>
      </c>
      <c r="G39" s="224" t="b">
        <f t="shared" si="1"/>
        <v>1</v>
      </c>
    </row>
    <row r="40" spans="1:7">
      <c r="A40" s="224" t="s">
        <v>501</v>
      </c>
      <c r="B40" s="599" t="s">
        <v>1320</v>
      </c>
      <c r="C40" s="224" t="b">
        <f t="shared" si="2"/>
        <v>1</v>
      </c>
      <c r="D40" s="458" t="str">
        <f>Lifetimes!AU1</f>
        <v>TextileCoatingDis</v>
      </c>
      <c r="E40" s="224" t="str">
        <v>Lacquer (prof) outdoor (in use)</v>
      </c>
      <c r="F40" s="224" t="str">
        <v>LacquerProfOutIU</v>
      </c>
      <c r="G40" s="224" t="b">
        <f t="shared" si="1"/>
        <v>1</v>
      </c>
    </row>
    <row r="41" spans="1:7">
      <c r="A41" s="224" t="s">
        <v>500</v>
      </c>
      <c r="B41" s="599" t="s">
        <v>1321</v>
      </c>
      <c r="C41" s="224" t="b">
        <f t="shared" si="2"/>
        <v>1</v>
      </c>
      <c r="D41" s="458" t="str">
        <f>Lifetimes!AV1</f>
        <v>TextileCoatingIU</v>
      </c>
      <c r="E41" s="224" t="str">
        <v>Lacquer (prof) indoor (in use)</v>
      </c>
      <c r="F41" s="224" t="str">
        <v>LacquerProfInIU</v>
      </c>
      <c r="G41" s="224" t="b">
        <f t="shared" si="1"/>
        <v>1</v>
      </c>
    </row>
    <row r="42" spans="1:7">
      <c r="A42" s="224" t="s">
        <v>502</v>
      </c>
      <c r="B42" s="599" t="s">
        <v>1319</v>
      </c>
      <c r="C42" s="224" t="b">
        <f t="shared" si="2"/>
        <v>1</v>
      </c>
      <c r="D42" s="458" t="str">
        <f>Lifetimes!AW1</f>
        <v>ConcreteProfInDis</v>
      </c>
      <c r="E42" s="224" t="str">
        <v>Lacquer (prof) outdoor (discarded)</v>
      </c>
      <c r="F42" s="224" t="str">
        <v>LacquerProfOutDis</v>
      </c>
      <c r="G42" s="224" t="b">
        <f t="shared" si="1"/>
        <v>1</v>
      </c>
    </row>
    <row r="43" spans="1:7">
      <c r="A43" s="224" t="s">
        <v>506</v>
      </c>
      <c r="B43" s="599" t="s">
        <v>1314</v>
      </c>
      <c r="C43" s="224" t="b">
        <f t="shared" si="2"/>
        <v>1</v>
      </c>
      <c r="D43" s="458" t="str">
        <f>Lifetimes!AX1</f>
        <v>ConcreteProfInIU</v>
      </c>
      <c r="E43" s="224" t="str">
        <v>Lacquer (prof) indoor (discarded)</v>
      </c>
      <c r="F43" s="224" t="str">
        <v>LacquerProfInDis</v>
      </c>
      <c r="G43" s="224" t="b">
        <f t="shared" si="1"/>
        <v>1</v>
      </c>
    </row>
    <row r="44" spans="1:7">
      <c r="A44" s="224" t="s">
        <v>510</v>
      </c>
      <c r="B44" s="599" t="s">
        <v>1312</v>
      </c>
      <c r="C44" s="224" t="b">
        <f t="shared" si="2"/>
        <v>1</v>
      </c>
      <c r="D44" s="458" t="str">
        <f>Lifetimes!AY1</f>
        <v>ConcreteProfOutDis</v>
      </c>
      <c r="E44" s="224" t="str">
        <v>Wood stain (prof) outdoor (in use)</v>
      </c>
      <c r="F44" s="224" t="str">
        <v>WoodStainProfOutIU</v>
      </c>
      <c r="G44" s="224" t="b">
        <f t="shared" si="1"/>
        <v>1</v>
      </c>
    </row>
    <row r="45" spans="1:7">
      <c r="A45" s="224" t="s">
        <v>507</v>
      </c>
      <c r="B45" s="599" t="s">
        <v>1313</v>
      </c>
      <c r="C45" s="224" t="b">
        <f t="shared" si="2"/>
        <v>1</v>
      </c>
      <c r="D45" s="458" t="str">
        <f>Lifetimes!AZ1</f>
        <v>ConcreteProfOutIU</v>
      </c>
      <c r="E45" s="224" t="str">
        <v>Wood stain (prof) indoor (in use)</v>
      </c>
      <c r="F45" s="224" t="str">
        <v>WoodStainProfInIU</v>
      </c>
      <c r="G45" s="224" t="b">
        <f t="shared" si="1"/>
        <v>1</v>
      </c>
    </row>
    <row r="46" spans="1:7">
      <c r="A46" s="224" t="s">
        <v>505</v>
      </c>
      <c r="B46" s="599" t="s">
        <v>1311</v>
      </c>
      <c r="C46" s="224" t="b">
        <f t="shared" si="2"/>
        <v>1</v>
      </c>
      <c r="D46" s="458" t="str">
        <f>Lifetimes!BA1</f>
        <v>LacquerDiyInDis</v>
      </c>
      <c r="E46" s="224" t="str">
        <v>Wood stain (prof) outdoor (discarded)</v>
      </c>
      <c r="F46" s="224" t="str">
        <v>WoodStainProfOutDis</v>
      </c>
      <c r="G46" s="224" t="b">
        <f t="shared" si="1"/>
        <v>1</v>
      </c>
    </row>
    <row r="47" spans="1:7">
      <c r="A47" s="224" t="s">
        <v>513</v>
      </c>
      <c r="B47" s="599" t="s">
        <v>1302</v>
      </c>
      <c r="C47" s="224" t="b">
        <f t="shared" si="2"/>
        <v>1</v>
      </c>
      <c r="D47" s="458" t="str">
        <f>Lifetimes!BB1</f>
        <v>LacquerDiyInIU</v>
      </c>
      <c r="E47" s="224" t="str">
        <v>Wood stain (prof) indoor (discarded)</v>
      </c>
      <c r="F47" s="224" t="str">
        <v>WoodStainProfInDis</v>
      </c>
      <c r="G47" s="224" t="b">
        <f t="shared" si="1"/>
        <v>1</v>
      </c>
    </row>
    <row r="48" spans="1:7">
      <c r="A48" s="224" t="s">
        <v>515</v>
      </c>
      <c r="B48" s="599" t="s">
        <v>1300</v>
      </c>
      <c r="C48" s="224" t="b">
        <f t="shared" si="2"/>
        <v>1</v>
      </c>
      <c r="D48" s="458" t="str">
        <f>Lifetimes!BC1</f>
        <v>LacquerDiyOutDis</v>
      </c>
      <c r="E48" s="224" t="str">
        <v>Wall paint (prof) outdoor (in use)</v>
      </c>
      <c r="F48" s="224" t="str">
        <v>WallPaintProfOutIU</v>
      </c>
      <c r="G48" s="224" t="b">
        <f t="shared" si="1"/>
        <v>1</v>
      </c>
    </row>
    <row r="49" spans="1:7">
      <c r="A49" s="224" t="s">
        <v>514</v>
      </c>
      <c r="B49" s="599" t="s">
        <v>1301</v>
      </c>
      <c r="C49" s="224" t="b">
        <f t="shared" si="2"/>
        <v>1</v>
      </c>
      <c r="D49" s="458" t="str">
        <f>Lifetimes!BD1</f>
        <v>LacquerDiyOutIU</v>
      </c>
      <c r="E49" s="224" t="str">
        <v>Wall paint (prof) indoor (in use)</v>
      </c>
      <c r="F49" s="224" t="str">
        <v>WallPaintProfInIU</v>
      </c>
      <c r="G49" s="224" t="b">
        <f t="shared" si="1"/>
        <v>1</v>
      </c>
    </row>
    <row r="50" spans="1:7">
      <c r="A50" s="224" t="s">
        <v>516</v>
      </c>
      <c r="B50" s="599" t="s">
        <v>1299</v>
      </c>
      <c r="C50" s="224" t="b">
        <f t="shared" si="2"/>
        <v>1</v>
      </c>
      <c r="D50" s="458" t="str">
        <f>Lifetimes!BE1</f>
        <v>LacquerProfInDis</v>
      </c>
      <c r="E50" s="224" t="str">
        <v>Wall paint (prof) outdoor (discarded)</v>
      </c>
      <c r="F50" s="224" t="str">
        <v>WallPaintProfOutDis</v>
      </c>
      <c r="G50" s="224" t="b">
        <f t="shared" si="1"/>
        <v>1</v>
      </c>
    </row>
    <row r="51" spans="1:7">
      <c r="A51" s="224" t="s">
        <v>519</v>
      </c>
      <c r="B51" s="599" t="s">
        <v>1290</v>
      </c>
      <c r="C51" s="224" t="b">
        <f t="shared" si="2"/>
        <v>1</v>
      </c>
      <c r="D51" s="458" t="str">
        <f>Lifetimes!BF1</f>
        <v>LacquerProfInIU</v>
      </c>
      <c r="E51" s="224" t="str">
        <v>Wall paint (prof) indoor (discarded)</v>
      </c>
      <c r="F51" s="224" t="str">
        <v>WallPaintProfInDis</v>
      </c>
      <c r="G51" s="224" t="b">
        <f t="shared" si="1"/>
        <v>1</v>
      </c>
    </row>
    <row r="52" spans="1:7">
      <c r="A52" s="224" t="s">
        <v>520</v>
      </c>
      <c r="B52" s="599" t="s">
        <v>1288</v>
      </c>
      <c r="C52" s="224" t="b">
        <f t="shared" si="2"/>
        <v>1</v>
      </c>
      <c r="D52" s="458" t="str">
        <f>Lifetimes!BG1</f>
        <v>LacquerProfOutDis</v>
      </c>
      <c r="E52" s="224" t="str">
        <v>Plaster (prof) outdoor (in use)</v>
      </c>
      <c r="F52" s="224" t="str">
        <v>PlasterProfOutIU</v>
      </c>
      <c r="G52" s="224" t="b">
        <f t="shared" si="1"/>
        <v>1</v>
      </c>
    </row>
    <row r="53" spans="1:7">
      <c r="A53" s="224" t="s">
        <v>468</v>
      </c>
      <c r="B53" s="599" t="s">
        <v>1289</v>
      </c>
      <c r="C53" s="224" t="b">
        <f t="shared" si="2"/>
        <v>1</v>
      </c>
      <c r="D53" s="458" t="str">
        <f>Lifetimes!BH1</f>
        <v>LacquerProfOutIU</v>
      </c>
      <c r="E53" s="224" t="str">
        <v>Plaster (prof) indoor (in use)</v>
      </c>
      <c r="F53" s="224" t="str">
        <v>PlasterProfInIU</v>
      </c>
      <c r="G53" s="224" t="b">
        <f t="shared" si="1"/>
        <v>1</v>
      </c>
    </row>
    <row r="54" spans="1:7">
      <c r="A54" s="224" t="s">
        <v>461</v>
      </c>
      <c r="B54" s="599" t="s">
        <v>1287</v>
      </c>
      <c r="C54" s="224" t="b">
        <f t="shared" si="2"/>
        <v>1</v>
      </c>
      <c r="D54" s="458" t="str">
        <f>Lifetimes!BI1</f>
        <v>OtherPaintUsesDiyInDis</v>
      </c>
      <c r="E54" s="224" t="str">
        <v>Plaster (prof) outdoor (discarded)</v>
      </c>
      <c r="F54" s="224" t="str">
        <v>PlasterProfOutDis</v>
      </c>
      <c r="G54" s="224" t="b">
        <f t="shared" si="1"/>
        <v>1</v>
      </c>
    </row>
    <row r="55" spans="1:7">
      <c r="A55" s="224" t="s">
        <v>965</v>
      </c>
      <c r="B55" s="599" t="s">
        <v>975</v>
      </c>
      <c r="C55" s="224" t="b">
        <f t="shared" si="2"/>
        <v>1</v>
      </c>
      <c r="D55" s="458" t="str">
        <f>Lifetimes!BJ1</f>
        <v>OtherPaintUsesDiyInIU</v>
      </c>
      <c r="E55" s="224" t="str">
        <v>Plaster (prof) indoor (discarded)</v>
      </c>
      <c r="F55" s="224" t="str">
        <v>PlasterProfInDis</v>
      </c>
      <c r="G55" s="224" t="b">
        <f t="shared" si="1"/>
        <v>1</v>
      </c>
    </row>
    <row r="56" spans="1:7">
      <c r="A56" s="224" t="s">
        <v>964</v>
      </c>
      <c r="B56" s="599" t="s">
        <v>980</v>
      </c>
      <c r="C56" s="224" t="b">
        <f t="shared" si="2"/>
        <v>1</v>
      </c>
      <c r="D56" s="458" t="str">
        <f>Lifetimes!BK1</f>
        <v>OtherPaintUsesDiyOutDis</v>
      </c>
      <c r="E56" s="224" t="str">
        <v>Other paint uses (prof) outdoor (in use)</v>
      </c>
      <c r="F56" s="224" t="str">
        <v>OtherPaintUsesProfOutIU</v>
      </c>
      <c r="G56" s="224" t="b">
        <f t="shared" si="1"/>
        <v>1</v>
      </c>
    </row>
    <row r="57" spans="1:7">
      <c r="A57" s="224" t="s">
        <v>960</v>
      </c>
      <c r="B57" s="599" t="s">
        <v>1250</v>
      </c>
      <c r="C57" s="224" t="b">
        <f t="shared" si="2"/>
        <v>1</v>
      </c>
      <c r="D57" s="458" t="str">
        <f>Lifetimes!BL1</f>
        <v>OtherPaintUsesDiyOutIU</v>
      </c>
      <c r="E57" s="224" t="str">
        <v>Other paint uses (prof) indoor (in use)</v>
      </c>
      <c r="F57" s="224" t="str">
        <v>OtherPaintUsesProfInIU</v>
      </c>
      <c r="G57" s="224" t="b">
        <f t="shared" si="1"/>
        <v>1</v>
      </c>
    </row>
    <row r="58" spans="1:7">
      <c r="A58" s="224" t="s">
        <v>966</v>
      </c>
      <c r="B58" s="599" t="s">
        <v>1249</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1257</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1261</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1260</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355</v>
      </c>
      <c r="B62" s="599" t="s">
        <v>1263</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1262</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1271</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1270</v>
      </c>
      <c r="C65" s="224" t="b">
        <f t="shared" si="3"/>
        <v>1</v>
      </c>
      <c r="D65" s="458" t="str">
        <f>Lifetimes!BT1</f>
        <v>PaintsPreMadeWoodOutIU</v>
      </c>
      <c r="E65" s="224" t="str">
        <v>Lacquer (DIY) indoor (in use)</v>
      </c>
      <c r="F65" s="224" t="str">
        <v>LacquerDiyInIU</v>
      </c>
      <c r="G65" s="224" t="b">
        <f t="shared" si="1"/>
        <v>1</v>
      </c>
    </row>
    <row r="66" spans="1:7">
      <c r="A66" s="224" t="s">
        <v>162</v>
      </c>
      <c r="B66" s="599" t="s">
        <v>1266</v>
      </c>
      <c r="C66" s="224" t="b">
        <f t="shared" si="3"/>
        <v>1</v>
      </c>
      <c r="D66" s="458" t="str">
        <f>Lifetimes!BU1</f>
        <v>PlasterDiyInDis</v>
      </c>
      <c r="E66" s="224" t="str">
        <v>Lacquer (DIY) outdoor (discarded)</v>
      </c>
      <c r="F66" s="224" t="str">
        <v>LacquerDiyOutDis</v>
      </c>
      <c r="G66" s="224" t="b">
        <f t="shared" si="1"/>
        <v>1</v>
      </c>
    </row>
    <row r="67" spans="1:7">
      <c r="A67" s="224" t="s">
        <v>153</v>
      </c>
      <c r="B67" s="599" t="s">
        <v>1265</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1269</v>
      </c>
      <c r="C68" s="224" t="b">
        <f t="shared" si="3"/>
        <v>1</v>
      </c>
      <c r="D68" s="458" t="str">
        <f>Lifetimes!BW1</f>
        <v>PlasterDiyOutDis</v>
      </c>
      <c r="E68" s="224" t="str">
        <v>Wood stain (DIY) outdoor (in use)</v>
      </c>
      <c r="F68" s="224" t="str">
        <v>WoodStainDiyOutIU</v>
      </c>
      <c r="G68" s="224" t="b">
        <f t="shared" si="4"/>
        <v>1</v>
      </c>
    </row>
    <row r="69" spans="1:7">
      <c r="A69" s="224" t="s">
        <v>186</v>
      </c>
      <c r="B69" s="599" t="s">
        <v>1268</v>
      </c>
      <c r="C69" s="224" t="b">
        <f t="shared" si="3"/>
        <v>1</v>
      </c>
      <c r="D69" s="458" t="str">
        <f>Lifetimes!BX1</f>
        <v>PlasterDiyOutIU</v>
      </c>
      <c r="E69" s="224" t="str">
        <v>Wood stain (DIY) indoor (in use)</v>
      </c>
      <c r="F69" s="224" t="str">
        <v>WoodStainDiyInIU</v>
      </c>
      <c r="G69" s="224" t="b">
        <f t="shared" si="4"/>
        <v>1</v>
      </c>
    </row>
    <row r="70" spans="1:7">
      <c r="A70" s="224" t="s">
        <v>359</v>
      </c>
      <c r="B70" s="599" t="s">
        <v>1274</v>
      </c>
      <c r="C70" s="224" t="b">
        <f t="shared" si="3"/>
        <v>1</v>
      </c>
      <c r="D70" s="458" t="str">
        <f>Lifetimes!BY1</f>
        <v>PlasterProfInDis</v>
      </c>
      <c r="E70" s="224" t="str">
        <v>Wood stain (DIY) outdoor (discarded)</v>
      </c>
      <c r="F70" s="224" t="str">
        <v>WoodStainDiyOutDis</v>
      </c>
      <c r="G70" s="224" t="b">
        <f t="shared" si="4"/>
        <v>1</v>
      </c>
    </row>
    <row r="71" spans="1:7">
      <c r="A71" s="224" t="s">
        <v>349</v>
      </c>
      <c r="B71" s="599" t="s">
        <v>1273</v>
      </c>
      <c r="C71" s="224" t="b">
        <f t="shared" si="3"/>
        <v>1</v>
      </c>
      <c r="D71" s="458" t="str">
        <f>Lifetimes!BZ1</f>
        <v>PlasterProfInIU</v>
      </c>
      <c r="E71" s="224" t="str">
        <v>Wood stain (DIY) indoor (discarded)</v>
      </c>
      <c r="F71" s="224" t="str">
        <v>WoodStainDiyInDis</v>
      </c>
      <c r="G71" s="224" t="b">
        <f t="shared" si="4"/>
        <v>1</v>
      </c>
    </row>
    <row r="72" spans="1:7">
      <c r="A72" s="227" t="s">
        <v>310</v>
      </c>
      <c r="B72" s="459" t="s">
        <v>1255</v>
      </c>
      <c r="C72" s="224" t="b">
        <f t="shared" si="3"/>
        <v>1</v>
      </c>
      <c r="D72" s="458" t="str">
        <f>Lifetimes!CA1</f>
        <v>PlasterProfOutDis</v>
      </c>
      <c r="E72" s="224" t="str">
        <v>Wall paint (DIY) outdoor (in use)</v>
      </c>
      <c r="F72" s="224" t="str">
        <v>WallPaintDiyOutIU</v>
      </c>
      <c r="G72" s="224" t="b">
        <f t="shared" si="4"/>
        <v>1</v>
      </c>
    </row>
    <row r="73" spans="1:7">
      <c r="A73" s="227" t="s">
        <v>311</v>
      </c>
      <c r="B73" s="459" t="s">
        <v>1256</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1161</v>
      </c>
      <c r="C74" s="224" t="b">
        <f t="shared" si="3"/>
        <v>1</v>
      </c>
      <c r="D74" s="458" t="str">
        <f>Lifetimes!CC1</f>
        <v>ShipProfDis</v>
      </c>
      <c r="E74" s="224" t="str">
        <v>Wall paint (DIY) outdoor (discarded)</v>
      </c>
      <c r="F74" s="224" t="str">
        <v>WallPaintDiyOutDis</v>
      </c>
      <c r="G74" s="224" t="b">
        <f t="shared" si="4"/>
        <v>1</v>
      </c>
    </row>
    <row r="75" spans="1:7">
      <c r="A75" s="288" t="s">
        <v>201</v>
      </c>
      <c r="B75" s="307" t="s">
        <v>1251</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1162</v>
      </c>
      <c r="C76" s="224" t="b">
        <f t="shared" si="3"/>
        <v>1</v>
      </c>
      <c r="D76" s="458" t="str">
        <f>Lifetimes!CE1</f>
        <v>ShipDiyDis</v>
      </c>
      <c r="E76" s="224" t="str">
        <v>Plaster (DIY) outdoor (in use)</v>
      </c>
      <c r="F76" s="224" t="str">
        <v>PlasterDiyOutIU</v>
      </c>
      <c r="G76" s="224" t="b">
        <f t="shared" si="4"/>
        <v>1</v>
      </c>
    </row>
    <row r="77" spans="1:7">
      <c r="A77" s="288" t="s">
        <v>235</v>
      </c>
      <c r="B77" s="307" t="s">
        <v>1163</v>
      </c>
      <c r="C77" s="224" t="b">
        <f t="shared" si="3"/>
        <v>1</v>
      </c>
      <c r="D77" s="458" t="str">
        <f>Lifetimes!CF1</f>
        <v>ShipDiyIU</v>
      </c>
      <c r="E77" s="224" t="str">
        <v>Plaster (DIY) indoor (in use)</v>
      </c>
      <c r="F77" s="224" t="str">
        <v>PlasterDiyInIU</v>
      </c>
      <c r="G77" s="224" t="b">
        <f t="shared" si="4"/>
        <v>1</v>
      </c>
    </row>
    <row r="78" spans="1:7">
      <c r="A78" s="288" t="s">
        <v>203</v>
      </c>
      <c r="B78" s="307" t="s">
        <v>1071</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1165</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1164</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1159</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1258</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1260</v>
      </c>
      <c r="C83" s="224" t="b">
        <f t="shared" si="3"/>
        <v>1</v>
      </c>
      <c r="D83" s="458" t="str">
        <f>Lifetimes!CL1</f>
        <v>WallPaintProfInIU</v>
      </c>
      <c r="E83" s="224" t="str">
        <v>Other paint uses (DIY) indoor (discarded)</v>
      </c>
      <c r="F83" s="224" t="str">
        <v>OtherPaintUsesDiyInDis</v>
      </c>
      <c r="G83" s="224" t="b">
        <f t="shared" si="4"/>
        <v>1</v>
      </c>
    </row>
    <row r="84" spans="1:7">
      <c r="A84" s="629" t="s">
        <v>345</v>
      </c>
      <c r="B84" s="628" t="s">
        <v>1264</v>
      </c>
      <c r="C84" s="224" t="b">
        <f t="shared" si="3"/>
        <v>1</v>
      </c>
      <c r="D84" s="458" t="str">
        <f>Lifetimes!CM1</f>
        <v>WallPaintProfOutDis</v>
      </c>
      <c r="E84" s="224" t="str">
        <v>Apparel accessories</v>
      </c>
      <c r="F84" s="224" t="str">
        <v>ApparelAccessories</v>
      </c>
      <c r="G84" s="224" t="b">
        <f t="shared" si="4"/>
        <v>1</v>
      </c>
    </row>
    <row r="85" spans="1:7">
      <c r="A85" s="629" t="s">
        <v>347</v>
      </c>
      <c r="B85" s="628" t="s">
        <v>1267</v>
      </c>
      <c r="C85" s="224" t="b">
        <f t="shared" si="3"/>
        <v>1</v>
      </c>
      <c r="D85" s="914" t="str">
        <f>Lifetimes!CN1</f>
        <v>WallPaintProfOutIU</v>
      </c>
      <c r="E85" s="224" t="str">
        <v>Jackets and coats</v>
      </c>
      <c r="F85" s="224" t="str">
        <v>JacketsCoats</v>
      </c>
      <c r="G85" s="224" t="b">
        <f t="shared" si="4"/>
        <v>1</v>
      </c>
    </row>
    <row r="86" spans="1:7">
      <c r="A86" s="629" t="s">
        <v>238</v>
      </c>
      <c r="B86" s="628" t="s">
        <v>1272</v>
      </c>
      <c r="C86" s="224" t="b">
        <f t="shared" si="3"/>
        <v>1</v>
      </c>
      <c r="D86" s="914" t="str">
        <f>Lifetimes!CO1</f>
        <v>WoodStainDiyInDis</v>
      </c>
      <c r="E86" s="224" t="str">
        <v>Dresses skirts and jumpsuits</v>
      </c>
      <c r="F86" s="224" t="str">
        <v>DressesSkirtsJumpsuits</v>
      </c>
      <c r="G86" s="224" t="b">
        <f t="shared" si="4"/>
        <v>1</v>
      </c>
    </row>
    <row r="87" spans="1:7">
      <c r="A87" s="629" t="s">
        <v>197</v>
      </c>
      <c r="B87" s="628" t="s">
        <v>1259</v>
      </c>
      <c r="C87" s="224" t="b">
        <f t="shared" si="3"/>
        <v>1</v>
      </c>
      <c r="D87" s="914" t="str">
        <f>Lifetimes!CP1</f>
        <v>WoodStainDiyInIU</v>
      </c>
      <c r="E87" s="224"/>
      <c r="F87" s="224"/>
      <c r="G87" s="224" t="b">
        <f t="shared" si="4"/>
        <v>0</v>
      </c>
    </row>
    <row r="88" spans="1:7">
      <c r="A88" s="310" t="str">
        <f>Clothing!A619</f>
        <v>Apparel accessories</v>
      </c>
      <c r="B88" s="310" t="str">
        <f>Clothing!B619</f>
        <v>ClothingTwoYears</v>
      </c>
      <c r="C88" s="224" t="b">
        <f>NOT(ISERROR(MATCH(B88, D:D, 0)))</f>
        <v>1</v>
      </c>
      <c r="D88" s="914" t="str">
        <f>Lifetimes!CQ1</f>
        <v>WoodStainDiyOutDis</v>
      </c>
      <c r="E88" s="224"/>
      <c r="F88" s="224"/>
      <c r="G88" s="224" t="b">
        <f t="shared" si="4"/>
        <v>0</v>
      </c>
    </row>
    <row r="89" spans="1:7">
      <c r="A89" s="310" t="str">
        <f>Clothing!A620</f>
        <v>Boots</v>
      </c>
      <c r="B89" s="310" t="str">
        <f>Clothing!B620</f>
        <v>ClothingFiveYears</v>
      </c>
      <c r="C89" s="224" t="b">
        <f t="shared" si="3"/>
        <v>1</v>
      </c>
      <c r="D89" s="914" t="str">
        <f>Lifetimes!CR1</f>
        <v>WoodStainDiyOutIU</v>
      </c>
      <c r="E89" s="224"/>
      <c r="F89" s="224"/>
      <c r="G89" s="224" t="b">
        <f t="shared" si="4"/>
        <v>0</v>
      </c>
    </row>
    <row r="90" spans="1:7">
      <c r="A90" s="310" t="str">
        <f>Clothing!A621</f>
        <v>Closed-toed shoes</v>
      </c>
      <c r="B90" s="310" t="str">
        <f>Clothing!B621</f>
        <v>ClothingFiveYears</v>
      </c>
      <c r="C90" s="224" t="b">
        <f t="shared" si="3"/>
        <v>1</v>
      </c>
      <c r="D90" s="914" t="str">
        <f>Lifetimes!CS1</f>
        <v>WoodStainProfInDis</v>
      </c>
      <c r="E90" s="224"/>
      <c r="F90" s="224"/>
      <c r="G90" s="224" t="b">
        <f t="shared" si="4"/>
        <v>0</v>
      </c>
    </row>
    <row r="91" spans="1:7">
      <c r="A91" s="310" t="str">
        <f>Clothing!A622</f>
        <v>Dresses skirts and jumpsuits</v>
      </c>
      <c r="B91" s="310" t="str">
        <f>Clothing!B622</f>
        <v>ClothingEightYears</v>
      </c>
      <c r="C91" s="224" t="b">
        <f t="shared" si="3"/>
        <v>1</v>
      </c>
      <c r="D91" s="914" t="str">
        <f>Lifetimes!CT1</f>
        <v>WoodStainProfInIU</v>
      </c>
      <c r="E91" s="224"/>
      <c r="F91" s="224"/>
      <c r="G91" s="224" t="b">
        <f t="shared" si="4"/>
        <v>0</v>
      </c>
    </row>
    <row r="92" spans="1:7">
      <c r="A92" s="310" t="str">
        <f>Clothing!A623</f>
        <v>Jackets and coats</v>
      </c>
      <c r="B92" s="310" t="str">
        <f>Clothing!B623</f>
        <v>ClothingSevenYears</v>
      </c>
      <c r="C92" s="224" t="b">
        <f t="shared" si="3"/>
        <v>1</v>
      </c>
      <c r="D92" s="914" t="str">
        <f>Lifetimes!CU1</f>
        <v>WoodStainProfOutDis</v>
      </c>
      <c r="E92" s="224"/>
      <c r="F92" s="224"/>
      <c r="G92" s="224" t="b">
        <f t="shared" si="4"/>
        <v>0</v>
      </c>
    </row>
    <row r="93" spans="1:7">
      <c r="A93" s="310" t="str">
        <f>Clothing!A624</f>
        <v>Leggings stockings tights and socks</v>
      </c>
      <c r="B93" s="310" t="str">
        <f>Clothing!B624</f>
        <v>ClothingThreeYears</v>
      </c>
      <c r="C93" s="224" t="b">
        <f t="shared" si="3"/>
        <v>1</v>
      </c>
      <c r="D93" s="959" t="str">
        <f>Lifetimes!CV1</f>
        <v>WoodStainProfOutIU</v>
      </c>
      <c r="E93" s="224"/>
      <c r="F93" s="224"/>
      <c r="G93" s="224" t="b">
        <f t="shared" si="4"/>
        <v>0</v>
      </c>
    </row>
    <row r="94" spans="1:7">
      <c r="A94" s="310" t="str">
        <f>Clothing!A625</f>
        <v>Open-toed shoes</v>
      </c>
      <c r="B94" s="310" t="str">
        <f>Clothing!B625</f>
        <v>ClothingFiveYears</v>
      </c>
      <c r="C94" s="599" t="b">
        <f t="shared" si="3"/>
        <v>1</v>
      </c>
      <c r="D94" s="458" t="str">
        <f>Lifetimes!X1</f>
        <v>ClothingTwoYears</v>
      </c>
      <c r="E94" s="647"/>
      <c r="F94" s="224"/>
      <c r="G94" s="224" t="b">
        <f t="shared" si="4"/>
        <v>0</v>
      </c>
    </row>
    <row r="95" spans="1:7">
      <c r="A95" s="310" t="str">
        <f>Clothing!A626</f>
        <v>Pants and shorts</v>
      </c>
      <c r="B95" s="310" t="str">
        <f>Clothing!B626</f>
        <v>ClothingFourYears</v>
      </c>
      <c r="C95" s="599" t="b">
        <f t="shared" si="3"/>
        <v>1</v>
      </c>
      <c r="D95" s="458" t="str">
        <f>Lifetimes!Y1</f>
        <v>ClothingThreeYears</v>
      </c>
      <c r="E95" s="647"/>
      <c r="F95" s="224"/>
      <c r="G95" s="224" t="b">
        <f t="shared" si="4"/>
        <v>0</v>
      </c>
    </row>
    <row r="96" spans="1:7">
      <c r="A96" s="310" t="str">
        <f>Clothing!A627</f>
        <v>Shirts and blouses</v>
      </c>
      <c r="B96" s="310" t="str">
        <f>Clothing!B627</f>
        <v>ClothingFiveYears</v>
      </c>
      <c r="C96" s="599" t="b">
        <f t="shared" si="3"/>
        <v>1</v>
      </c>
      <c r="D96" s="458" t="str">
        <f>Lifetimes!Z1</f>
        <v>ClothingFourYears</v>
      </c>
      <c r="E96" s="647"/>
      <c r="F96" s="224"/>
      <c r="G96" s="224" t="b">
        <f t="shared" si="4"/>
        <v>0</v>
      </c>
    </row>
    <row r="97" spans="1:7">
      <c r="A97" s="310" t="str">
        <f>Clothing!A628</f>
        <v>Sweaters and midlayers</v>
      </c>
      <c r="B97" s="310" t="str">
        <f>Clothing!B628</f>
        <v>ClothingSixYears</v>
      </c>
      <c r="C97" s="599" t="b">
        <f t="shared" si="3"/>
        <v>1</v>
      </c>
      <c r="D97" s="458" t="str">
        <f>Lifetimes!AA1</f>
        <v>ClothingFiveYears</v>
      </c>
      <c r="G97" s="224" t="b">
        <f t="shared" si="4"/>
        <v>0</v>
      </c>
    </row>
    <row r="98" spans="1:7">
      <c r="A98" s="310" t="str">
        <f>Clothing!A629</f>
        <v>Swimwear</v>
      </c>
      <c r="B98" s="310" t="str">
        <f>Clothing!B629</f>
        <v>ClothingTwoYears</v>
      </c>
      <c r="C98" s="599" t="b">
        <f t="shared" si="3"/>
        <v>1</v>
      </c>
      <c r="D98" s="458" t="str">
        <f>Lifetimes!AB1</f>
        <v>ClothingSixYears</v>
      </c>
      <c r="G98" s="224" t="b">
        <f t="shared" si="4"/>
        <v>0</v>
      </c>
    </row>
    <row r="99" spans="1:7">
      <c r="A99" s="310" t="str">
        <f>Clothing!A630</f>
        <v>T-shirts</v>
      </c>
      <c r="B99" s="310" t="str">
        <f>Clothing!B630</f>
        <v>ClothingFiveYears</v>
      </c>
      <c r="C99" s="599" t="b">
        <f t="shared" si="3"/>
        <v>1</v>
      </c>
      <c r="D99" s="458" t="str">
        <f>Lifetimes!AC1</f>
        <v>ClothingSevenYears</v>
      </c>
      <c r="G99" s="224" t="b">
        <f t="shared" si="4"/>
        <v>0</v>
      </c>
    </row>
    <row r="100" spans="1:7">
      <c r="A100" s="310" t="str">
        <f>Clothing!A631</f>
        <v>Underwear</v>
      </c>
      <c r="B100" s="310" t="str">
        <f>Clothing!B631</f>
        <v>ClothingThreeYears</v>
      </c>
      <c r="C100" s="599"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20"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8671875" defaultRowHeight="14.4"/>
  <cols>
    <col min="1" max="1" width="70.6640625" style="582" customWidth="1"/>
    <col min="2" max="2" width="30.6640625" style="582" customWidth="1"/>
    <col min="3" max="3" width="100.6640625" style="582" customWidth="1"/>
    <col min="4" max="4" width="200.6640625" style="584" customWidth="1"/>
    <col min="5" max="16384" width="8.88671875" style="582"/>
  </cols>
  <sheetData>
    <row r="1" spans="1:4" s="583" customFormat="1" ht="15" thickBot="1">
      <c r="A1" s="585" t="s">
        <v>1334</v>
      </c>
      <c r="B1" s="585" t="s">
        <v>1335</v>
      </c>
      <c r="C1" s="585" t="s">
        <v>1336</v>
      </c>
      <c r="D1" s="585" t="s">
        <v>1337</v>
      </c>
    </row>
    <row r="2" spans="1:4" s="584" customFormat="1">
      <c r="A2" s="706" t="s">
        <v>194</v>
      </c>
      <c r="B2" s="707" t="s">
        <v>1257</v>
      </c>
      <c r="C2" s="707" t="s">
        <v>1338</v>
      </c>
      <c r="D2" s="708" t="s">
        <v>45</v>
      </c>
    </row>
    <row r="3" spans="1:4" s="584" customFormat="1" ht="86.4">
      <c r="A3" s="709" t="s">
        <v>1339</v>
      </c>
      <c r="B3" s="710" t="s">
        <v>1258</v>
      </c>
      <c r="C3" s="711" t="s">
        <v>1340</v>
      </c>
      <c r="D3" s="712" t="s">
        <v>1341</v>
      </c>
    </row>
    <row r="4" spans="1:4" s="584" customFormat="1" ht="210" customHeight="1" thickBot="1">
      <c r="A4" s="713" t="s">
        <v>1342</v>
      </c>
      <c r="B4" s="714" t="s">
        <v>1259</v>
      </c>
      <c r="C4" s="715" t="s">
        <v>1343</v>
      </c>
      <c r="D4" s="716" t="s">
        <v>1344</v>
      </c>
    </row>
    <row r="5" spans="1:4" s="584" customFormat="1">
      <c r="A5" s="717" t="s">
        <v>190</v>
      </c>
      <c r="B5" s="718" t="s">
        <v>1260</v>
      </c>
      <c r="C5" s="718" t="s">
        <v>1345</v>
      </c>
      <c r="D5" s="719" t="s">
        <v>45</v>
      </c>
    </row>
    <row r="6" spans="1:4" s="584" customFormat="1" ht="15" thickBot="1">
      <c r="A6" s="713" t="s">
        <v>191</v>
      </c>
      <c r="B6" s="714" t="s">
        <v>1261</v>
      </c>
      <c r="C6" s="714" t="s">
        <v>1346</v>
      </c>
      <c r="D6" s="586" t="s">
        <v>1347</v>
      </c>
    </row>
    <row r="7" spans="1:4" s="584" customFormat="1">
      <c r="A7" s="706" t="s">
        <v>242</v>
      </c>
      <c r="B7" s="707" t="s">
        <v>1262</v>
      </c>
      <c r="C7" s="707" t="s">
        <v>1348</v>
      </c>
      <c r="D7" s="708" t="s">
        <v>45</v>
      </c>
    </row>
    <row r="8" spans="1:4" s="584" customFormat="1" ht="15" thickBot="1">
      <c r="A8" s="713" t="s">
        <v>355</v>
      </c>
      <c r="B8" s="714" t="s">
        <v>1263</v>
      </c>
      <c r="C8" s="714" t="s">
        <v>1346</v>
      </c>
      <c r="D8" s="586" t="s">
        <v>1347</v>
      </c>
    </row>
    <row r="9" spans="1:4" s="584" customFormat="1" ht="15" thickBot="1">
      <c r="A9" s="720" t="s">
        <v>345</v>
      </c>
      <c r="B9" s="721" t="s">
        <v>1264</v>
      </c>
      <c r="C9" s="721" t="s">
        <v>1349</v>
      </c>
      <c r="D9" s="722" t="s">
        <v>45</v>
      </c>
    </row>
    <row r="10" spans="1:4" s="584" customFormat="1">
      <c r="A10" s="706" t="s">
        <v>153</v>
      </c>
      <c r="B10" s="707" t="s">
        <v>1265</v>
      </c>
      <c r="C10" s="707" t="s">
        <v>1350</v>
      </c>
      <c r="D10" s="708" t="s">
        <v>45</v>
      </c>
    </row>
    <row r="11" spans="1:4" s="584" customFormat="1" ht="15" thickBot="1">
      <c r="A11" s="713" t="s">
        <v>162</v>
      </c>
      <c r="B11" s="714" t="s">
        <v>1266</v>
      </c>
      <c r="C11" s="723" t="s">
        <v>1346</v>
      </c>
      <c r="D11" s="724" t="s">
        <v>1347</v>
      </c>
    </row>
    <row r="12" spans="1:4" s="584" customFormat="1" ht="15" thickBot="1">
      <c r="A12" s="725" t="s">
        <v>347</v>
      </c>
      <c r="B12" s="726" t="s">
        <v>1267</v>
      </c>
      <c r="C12" s="726" t="s">
        <v>1351</v>
      </c>
      <c r="D12" s="727" t="s">
        <v>45</v>
      </c>
    </row>
    <row r="13" spans="1:4" s="584" customFormat="1">
      <c r="A13" s="706" t="s">
        <v>186</v>
      </c>
      <c r="B13" s="707" t="s">
        <v>1268</v>
      </c>
      <c r="C13" s="707" t="s">
        <v>1352</v>
      </c>
      <c r="D13" s="708" t="s">
        <v>45</v>
      </c>
    </row>
    <row r="14" spans="1:4" s="584" customFormat="1" ht="15" thickBot="1">
      <c r="A14" s="728" t="s">
        <v>187</v>
      </c>
      <c r="B14" s="729" t="s">
        <v>1269</v>
      </c>
      <c r="C14" s="714" t="s">
        <v>1346</v>
      </c>
      <c r="D14" s="586" t="s">
        <v>1347</v>
      </c>
    </row>
    <row r="15" spans="1:4" s="584" customFormat="1">
      <c r="A15" s="706" t="s">
        <v>171</v>
      </c>
      <c r="B15" s="707" t="s">
        <v>1270</v>
      </c>
      <c r="C15" s="707" t="s">
        <v>1353</v>
      </c>
      <c r="D15" s="708" t="s">
        <v>45</v>
      </c>
    </row>
    <row r="16" spans="1:4" s="584" customFormat="1" ht="15" thickBot="1">
      <c r="A16" s="713" t="s">
        <v>172</v>
      </c>
      <c r="B16" s="714" t="s">
        <v>1271</v>
      </c>
      <c r="C16" s="723" t="s">
        <v>1346</v>
      </c>
      <c r="D16" s="724" t="s">
        <v>1347</v>
      </c>
    </row>
    <row r="17" spans="1:4" s="584" customFormat="1" ht="15" thickBot="1">
      <c r="A17" s="720" t="s">
        <v>238</v>
      </c>
      <c r="B17" s="721" t="s">
        <v>1354</v>
      </c>
      <c r="C17" s="721" t="s">
        <v>1355</v>
      </c>
      <c r="D17" s="722" t="s">
        <v>45</v>
      </c>
    </row>
    <row r="18" spans="1:4" s="584" customFormat="1">
      <c r="A18" s="706" t="s">
        <v>349</v>
      </c>
      <c r="B18" s="707" t="s">
        <v>1273</v>
      </c>
      <c r="C18" s="707" t="s">
        <v>1356</v>
      </c>
      <c r="D18" s="708" t="s">
        <v>45</v>
      </c>
    </row>
    <row r="19" spans="1:4" s="584" customFormat="1" ht="15" thickBot="1">
      <c r="A19" s="713" t="s">
        <v>359</v>
      </c>
      <c r="B19" s="714" t="s">
        <v>1274</v>
      </c>
      <c r="C19" s="714" t="s">
        <v>1346</v>
      </c>
      <c r="D19" s="586" t="s">
        <v>1347</v>
      </c>
    </row>
    <row r="20" spans="1:4" s="584" customFormat="1">
      <c r="A20" s="730" t="s">
        <v>447</v>
      </c>
      <c r="B20" s="731" t="s">
        <v>1275</v>
      </c>
      <c r="C20" s="731" t="s">
        <v>1357</v>
      </c>
      <c r="D20" s="587" t="s">
        <v>1358</v>
      </c>
    </row>
    <row r="21" spans="1:4" s="584" customFormat="1">
      <c r="A21" s="732" t="s">
        <v>452</v>
      </c>
      <c r="B21" s="733" t="s">
        <v>1276</v>
      </c>
      <c r="C21" s="733" t="s">
        <v>1346</v>
      </c>
      <c r="D21" s="588" t="s">
        <v>1347</v>
      </c>
    </row>
    <row r="22" spans="1:4" s="584" customFormat="1">
      <c r="A22" s="709" t="s">
        <v>450</v>
      </c>
      <c r="B22" s="710" t="s">
        <v>1277</v>
      </c>
      <c r="C22" s="710" t="s">
        <v>1359</v>
      </c>
      <c r="D22" s="589" t="s">
        <v>1360</v>
      </c>
    </row>
    <row r="23" spans="1:4" s="584" customFormat="1" ht="15" thickBot="1">
      <c r="A23" s="713" t="s">
        <v>451</v>
      </c>
      <c r="B23" s="714" t="s">
        <v>1278</v>
      </c>
      <c r="C23" s="714" t="s">
        <v>1346</v>
      </c>
      <c r="D23" s="586" t="s">
        <v>1347</v>
      </c>
    </row>
    <row r="24" spans="1:4" s="584" customFormat="1">
      <c r="A24" s="730" t="s">
        <v>496</v>
      </c>
      <c r="B24" s="731" t="s">
        <v>1279</v>
      </c>
      <c r="C24" s="731" t="s">
        <v>1361</v>
      </c>
      <c r="D24" s="587" t="s">
        <v>1358</v>
      </c>
    </row>
    <row r="25" spans="1:4" s="584" customFormat="1">
      <c r="A25" s="732" t="s">
        <v>495</v>
      </c>
      <c r="B25" s="733" t="s">
        <v>1280</v>
      </c>
      <c r="C25" s="733" t="s">
        <v>1346</v>
      </c>
      <c r="D25" s="588" t="s">
        <v>1347</v>
      </c>
    </row>
    <row r="26" spans="1:4" s="584" customFormat="1">
      <c r="A26" s="709" t="s">
        <v>494</v>
      </c>
      <c r="B26" s="710" t="s">
        <v>1281</v>
      </c>
      <c r="C26" s="710" t="s">
        <v>1362</v>
      </c>
      <c r="D26" s="589" t="s">
        <v>1363</v>
      </c>
    </row>
    <row r="27" spans="1:4" s="584" customFormat="1" ht="15" thickBot="1">
      <c r="A27" s="709" t="s">
        <v>493</v>
      </c>
      <c r="B27" s="710" t="s">
        <v>1282</v>
      </c>
      <c r="C27" s="710" t="s">
        <v>1346</v>
      </c>
      <c r="D27" s="590" t="s">
        <v>1347</v>
      </c>
    </row>
    <row r="28" spans="1:4" s="584" customFormat="1">
      <c r="A28" s="732" t="s">
        <v>458</v>
      </c>
      <c r="B28" s="733" t="s">
        <v>1283</v>
      </c>
      <c r="C28" s="731" t="s">
        <v>1364</v>
      </c>
      <c r="D28" s="587" t="s">
        <v>1358</v>
      </c>
    </row>
    <row r="29" spans="1:4" s="584" customFormat="1">
      <c r="A29" s="732" t="s">
        <v>457</v>
      </c>
      <c r="B29" s="733" t="s">
        <v>1284</v>
      </c>
      <c r="C29" s="733" t="s">
        <v>1346</v>
      </c>
      <c r="D29" s="588" t="s">
        <v>1347</v>
      </c>
    </row>
    <row r="30" spans="1:4" s="584" customFormat="1">
      <c r="A30" s="709" t="s">
        <v>456</v>
      </c>
      <c r="B30" s="710" t="s">
        <v>1285</v>
      </c>
      <c r="C30" s="710" t="s">
        <v>1365</v>
      </c>
      <c r="D30" s="589" t="s">
        <v>1363</v>
      </c>
    </row>
    <row r="31" spans="1:4" s="584" customFormat="1" ht="15" thickBot="1">
      <c r="A31" s="713" t="s">
        <v>455</v>
      </c>
      <c r="B31" s="714" t="s">
        <v>1286</v>
      </c>
      <c r="C31" s="714" t="s">
        <v>1346</v>
      </c>
      <c r="D31" s="586" t="s">
        <v>1347</v>
      </c>
    </row>
    <row r="32" spans="1:4" s="584" customFormat="1">
      <c r="A32" s="730" t="s">
        <v>461</v>
      </c>
      <c r="B32" s="731" t="s">
        <v>1287</v>
      </c>
      <c r="C32" s="731" t="s">
        <v>1366</v>
      </c>
      <c r="D32" s="587" t="s">
        <v>1358</v>
      </c>
    </row>
    <row r="33" spans="1:4" s="584" customFormat="1">
      <c r="A33" s="732" t="s">
        <v>520</v>
      </c>
      <c r="B33" s="733" t="s">
        <v>1288</v>
      </c>
      <c r="C33" s="733" t="s">
        <v>1346</v>
      </c>
      <c r="D33" s="588" t="s">
        <v>1347</v>
      </c>
    </row>
    <row r="34" spans="1:4" s="584" customFormat="1">
      <c r="A34" s="709" t="s">
        <v>468</v>
      </c>
      <c r="B34" s="710" t="s">
        <v>1289</v>
      </c>
      <c r="C34" s="710" t="s">
        <v>1367</v>
      </c>
      <c r="D34" s="589" t="s">
        <v>1368</v>
      </c>
    </row>
    <row r="35" spans="1:4" s="584" customFormat="1">
      <c r="A35" s="709" t="s">
        <v>519</v>
      </c>
      <c r="B35" s="710" t="s">
        <v>1290</v>
      </c>
      <c r="C35" s="710" t="s">
        <v>1346</v>
      </c>
      <c r="D35" s="590" t="s">
        <v>1347</v>
      </c>
    </row>
    <row r="36" spans="1:4" s="584" customFormat="1">
      <c r="A36" s="732" t="s">
        <v>473</v>
      </c>
      <c r="B36" s="733" t="s">
        <v>1291</v>
      </c>
      <c r="C36" s="733" t="s">
        <v>1366</v>
      </c>
      <c r="D36" s="591" t="s">
        <v>1358</v>
      </c>
    </row>
    <row r="37" spans="1:4" s="584" customFormat="1">
      <c r="A37" s="732" t="s">
        <v>484</v>
      </c>
      <c r="B37" s="733" t="s">
        <v>1292</v>
      </c>
      <c r="C37" s="733" t="s">
        <v>1346</v>
      </c>
      <c r="D37" s="588" t="s">
        <v>1347</v>
      </c>
    </row>
    <row r="38" spans="1:4" s="584" customFormat="1">
      <c r="A38" s="709" t="s">
        <v>476</v>
      </c>
      <c r="B38" s="710" t="s">
        <v>1293</v>
      </c>
      <c r="C38" s="710" t="s">
        <v>1367</v>
      </c>
      <c r="D38" s="589" t="s">
        <v>1368</v>
      </c>
    </row>
    <row r="39" spans="1:4" s="584" customFormat="1" ht="15" thickBot="1">
      <c r="A39" s="728" t="s">
        <v>483</v>
      </c>
      <c r="B39" s="729" t="s">
        <v>1294</v>
      </c>
      <c r="C39" s="729" t="s">
        <v>1346</v>
      </c>
      <c r="D39" s="592" t="s">
        <v>1347</v>
      </c>
    </row>
    <row r="40" spans="1:4" s="584" customFormat="1">
      <c r="A40" s="730" t="s">
        <v>485</v>
      </c>
      <c r="B40" s="731" t="s">
        <v>1295</v>
      </c>
      <c r="C40" s="731" t="s">
        <v>1369</v>
      </c>
      <c r="D40" s="587" t="s">
        <v>1370</v>
      </c>
    </row>
    <row r="41" spans="1:4" s="584" customFormat="1">
      <c r="A41" s="732" t="s">
        <v>490</v>
      </c>
      <c r="B41" s="733" t="s">
        <v>1296</v>
      </c>
      <c r="C41" s="733" t="s">
        <v>1346</v>
      </c>
      <c r="D41" s="588" t="s">
        <v>1347</v>
      </c>
    </row>
    <row r="42" spans="1:4" s="584" customFormat="1">
      <c r="A42" s="709" t="s">
        <v>486</v>
      </c>
      <c r="B42" s="710" t="s">
        <v>1297</v>
      </c>
      <c r="C42" s="710" t="s">
        <v>1371</v>
      </c>
      <c r="D42" s="591" t="s">
        <v>1370</v>
      </c>
    </row>
    <row r="43" spans="1:4" s="584" customFormat="1" ht="15" thickBot="1">
      <c r="A43" s="728" t="s">
        <v>489</v>
      </c>
      <c r="B43" s="729" t="s">
        <v>1298</v>
      </c>
      <c r="C43" s="729" t="s">
        <v>1346</v>
      </c>
      <c r="D43" s="592" t="s">
        <v>1347</v>
      </c>
    </row>
    <row r="44" spans="1:4" s="584" customFormat="1">
      <c r="A44" s="730" t="s">
        <v>516</v>
      </c>
      <c r="B44" s="731" t="s">
        <v>1299</v>
      </c>
      <c r="C44" s="731" t="s">
        <v>1372</v>
      </c>
      <c r="D44" s="593" t="s">
        <v>1347</v>
      </c>
    </row>
    <row r="45" spans="1:4" s="584" customFormat="1">
      <c r="A45" s="732" t="s">
        <v>515</v>
      </c>
      <c r="B45" s="733" t="s">
        <v>1300</v>
      </c>
      <c r="C45" s="733" t="s">
        <v>1346</v>
      </c>
      <c r="D45" s="588" t="s">
        <v>1347</v>
      </c>
    </row>
    <row r="46" spans="1:4" s="584" customFormat="1">
      <c r="A46" s="709" t="s">
        <v>514</v>
      </c>
      <c r="B46" s="710" t="s">
        <v>1301</v>
      </c>
      <c r="C46" s="710" t="s">
        <v>1373</v>
      </c>
      <c r="D46" s="590" t="s">
        <v>1347</v>
      </c>
    </row>
    <row r="47" spans="1:4" s="584" customFormat="1">
      <c r="A47" s="709" t="s">
        <v>513</v>
      </c>
      <c r="B47" s="710" t="s">
        <v>1302</v>
      </c>
      <c r="C47" s="710" t="s">
        <v>1346</v>
      </c>
      <c r="D47" s="590" t="s">
        <v>1347</v>
      </c>
    </row>
    <row r="48" spans="1:4" s="584" customFormat="1">
      <c r="A48" s="732" t="s">
        <v>480</v>
      </c>
      <c r="B48" s="733" t="s">
        <v>1303</v>
      </c>
      <c r="C48" s="733" t="s">
        <v>1374</v>
      </c>
      <c r="D48" s="734" t="s">
        <v>1347</v>
      </c>
    </row>
    <row r="49" spans="1:4" s="584" customFormat="1">
      <c r="A49" s="732" t="s">
        <v>479</v>
      </c>
      <c r="B49" s="733" t="s">
        <v>1304</v>
      </c>
      <c r="C49" s="733" t="s">
        <v>1346</v>
      </c>
      <c r="D49" s="588" t="s">
        <v>1347</v>
      </c>
    </row>
    <row r="50" spans="1:4" s="584" customFormat="1">
      <c r="A50" s="709" t="s">
        <v>478</v>
      </c>
      <c r="B50" s="710" t="s">
        <v>1305</v>
      </c>
      <c r="C50" s="710" t="s">
        <v>1372</v>
      </c>
      <c r="D50" s="735" t="s">
        <v>1347</v>
      </c>
    </row>
    <row r="51" spans="1:4" s="584" customFormat="1" ht="15" thickBot="1">
      <c r="A51" s="713" t="s">
        <v>477</v>
      </c>
      <c r="B51" s="714" t="s">
        <v>1306</v>
      </c>
      <c r="C51" s="714" t="s">
        <v>1346</v>
      </c>
      <c r="D51" s="586" t="s">
        <v>1347</v>
      </c>
    </row>
    <row r="52" spans="1:4" s="584" customFormat="1">
      <c r="A52" s="706" t="s">
        <v>444</v>
      </c>
      <c r="B52" s="707" t="s">
        <v>1307</v>
      </c>
      <c r="C52" s="707" t="s">
        <v>1375</v>
      </c>
      <c r="D52" s="735" t="s">
        <v>1376</v>
      </c>
    </row>
    <row r="53" spans="1:4" s="584" customFormat="1">
      <c r="A53" s="709" t="s">
        <v>443</v>
      </c>
      <c r="B53" s="710" t="s">
        <v>1308</v>
      </c>
      <c r="C53" s="710" t="s">
        <v>1346</v>
      </c>
      <c r="D53" s="590" t="s">
        <v>1347</v>
      </c>
    </row>
    <row r="54" spans="1:4" s="584" customFormat="1">
      <c r="A54" s="709" t="s">
        <v>446</v>
      </c>
      <c r="B54" s="710" t="s">
        <v>1309</v>
      </c>
      <c r="C54" s="710" t="s">
        <v>1377</v>
      </c>
      <c r="D54" s="735" t="s">
        <v>1376</v>
      </c>
    </row>
    <row r="55" spans="1:4" s="584" customFormat="1" ht="15" thickBot="1">
      <c r="A55" s="713" t="s">
        <v>445</v>
      </c>
      <c r="B55" s="714" t="s">
        <v>1310</v>
      </c>
      <c r="C55" s="714" t="s">
        <v>1346</v>
      </c>
      <c r="D55" s="586" t="s">
        <v>1347</v>
      </c>
    </row>
    <row r="56" spans="1:4" s="584" customFormat="1">
      <c r="A56" s="730" t="s">
        <v>505</v>
      </c>
      <c r="B56" s="731" t="s">
        <v>1311</v>
      </c>
      <c r="C56" s="731" t="s">
        <v>1378</v>
      </c>
      <c r="D56" s="587" t="s">
        <v>1379</v>
      </c>
    </row>
    <row r="57" spans="1:4" s="584" customFormat="1">
      <c r="A57" s="732" t="s">
        <v>510</v>
      </c>
      <c r="B57" s="733" t="s">
        <v>1312</v>
      </c>
      <c r="C57" s="733" t="s">
        <v>1346</v>
      </c>
      <c r="D57" s="588" t="s">
        <v>1347</v>
      </c>
    </row>
    <row r="58" spans="1:4" s="584" customFormat="1">
      <c r="A58" s="709" t="s">
        <v>507</v>
      </c>
      <c r="B58" s="710" t="s">
        <v>1313</v>
      </c>
      <c r="C58" s="710" t="s">
        <v>1380</v>
      </c>
      <c r="D58" s="589" t="s">
        <v>1379</v>
      </c>
    </row>
    <row r="59" spans="1:4" s="584" customFormat="1">
      <c r="A59" s="709" t="s">
        <v>506</v>
      </c>
      <c r="B59" s="710" t="s">
        <v>1314</v>
      </c>
      <c r="C59" s="710" t="s">
        <v>1346</v>
      </c>
      <c r="D59" s="590" t="s">
        <v>1347</v>
      </c>
    </row>
    <row r="60" spans="1:4" s="584" customFormat="1">
      <c r="A60" s="732" t="s">
        <v>472</v>
      </c>
      <c r="B60" s="733" t="s">
        <v>1315</v>
      </c>
      <c r="C60" s="733" t="s">
        <v>1381</v>
      </c>
      <c r="D60" s="591" t="s">
        <v>1379</v>
      </c>
    </row>
    <row r="61" spans="1:4" s="584" customFormat="1">
      <c r="A61" s="732" t="s">
        <v>471</v>
      </c>
      <c r="B61" s="733" t="s">
        <v>1316</v>
      </c>
      <c r="C61" s="733" t="s">
        <v>1346</v>
      </c>
      <c r="D61" s="588" t="s">
        <v>1347</v>
      </c>
    </row>
    <row r="62" spans="1:4" s="584" customFormat="1">
      <c r="A62" s="709" t="s">
        <v>470</v>
      </c>
      <c r="B62" s="710" t="s">
        <v>1317</v>
      </c>
      <c r="C62" s="710" t="s">
        <v>1382</v>
      </c>
      <c r="D62" s="589" t="s">
        <v>1379</v>
      </c>
    </row>
    <row r="63" spans="1:4" s="584" customFormat="1" ht="15" thickBot="1">
      <c r="A63" s="713" t="s">
        <v>469</v>
      </c>
      <c r="B63" s="714" t="s">
        <v>1318</v>
      </c>
      <c r="C63" s="714" t="s">
        <v>1346</v>
      </c>
      <c r="D63" s="586" t="s">
        <v>1347</v>
      </c>
    </row>
    <row r="64" spans="1:4" s="584" customFormat="1" ht="28.8">
      <c r="A64" s="730" t="s">
        <v>502</v>
      </c>
      <c r="B64" s="731" t="s">
        <v>1319</v>
      </c>
      <c r="C64" s="736" t="s">
        <v>1383</v>
      </c>
      <c r="D64" s="587" t="s">
        <v>1379</v>
      </c>
    </row>
    <row r="65" spans="1:4" s="584" customFormat="1">
      <c r="A65" s="732" t="s">
        <v>501</v>
      </c>
      <c r="B65" s="733" t="s">
        <v>1320</v>
      </c>
      <c r="C65" s="733" t="s">
        <v>1346</v>
      </c>
      <c r="D65" s="588" t="s">
        <v>1347</v>
      </c>
    </row>
    <row r="66" spans="1:4" s="584" customFormat="1" ht="28.8">
      <c r="A66" s="709" t="s">
        <v>500</v>
      </c>
      <c r="B66" s="710" t="s">
        <v>1321</v>
      </c>
      <c r="C66" s="711" t="s">
        <v>1384</v>
      </c>
      <c r="D66" s="589" t="s">
        <v>1379</v>
      </c>
    </row>
    <row r="67" spans="1:4" s="584" customFormat="1">
      <c r="A67" s="709" t="s">
        <v>499</v>
      </c>
      <c r="B67" s="710" t="s">
        <v>1322</v>
      </c>
      <c r="C67" s="710" t="s">
        <v>1346</v>
      </c>
      <c r="D67" s="590" t="s">
        <v>1347</v>
      </c>
    </row>
    <row r="68" spans="1:4" s="584" customFormat="1" ht="28.8">
      <c r="A68" s="732" t="s">
        <v>465</v>
      </c>
      <c r="B68" s="733" t="s">
        <v>1323</v>
      </c>
      <c r="C68" s="737" t="s">
        <v>1385</v>
      </c>
      <c r="D68" s="591" t="s">
        <v>1379</v>
      </c>
    </row>
    <row r="69" spans="1:4" s="584" customFormat="1">
      <c r="A69" s="732" t="s">
        <v>464</v>
      </c>
      <c r="B69" s="733" t="s">
        <v>1324</v>
      </c>
      <c r="C69" s="733" t="s">
        <v>1346</v>
      </c>
      <c r="D69" s="588" t="s">
        <v>1347</v>
      </c>
    </row>
    <row r="70" spans="1:4" s="584" customFormat="1" ht="28.8">
      <c r="A70" s="709" t="s">
        <v>463</v>
      </c>
      <c r="B70" s="710" t="s">
        <v>1325</v>
      </c>
      <c r="C70" s="711" t="s">
        <v>1386</v>
      </c>
      <c r="D70" s="589" t="s">
        <v>1379</v>
      </c>
    </row>
    <row r="71" spans="1:4" s="584" customFormat="1">
      <c r="A71" s="728" t="s">
        <v>462</v>
      </c>
      <c r="B71" s="729" t="s">
        <v>1326</v>
      </c>
      <c r="C71" s="729" t="s">
        <v>1346</v>
      </c>
      <c r="D71" s="592" t="s">
        <v>1347</v>
      </c>
    </row>
    <row r="72" spans="1:4" s="882" customFormat="1">
      <c r="A72" s="884" t="s">
        <v>310</v>
      </c>
      <c r="B72" s="885" t="s">
        <v>1256</v>
      </c>
      <c r="C72" s="885" t="s">
        <v>1387</v>
      </c>
      <c r="D72" s="886" t="s">
        <v>1388</v>
      </c>
    </row>
    <row r="73" spans="1:4" s="882" customFormat="1" ht="15" thickBot="1">
      <c r="A73" s="887" t="s">
        <v>311</v>
      </c>
      <c r="B73" s="888" t="s">
        <v>1255</v>
      </c>
      <c r="C73" s="888" t="s">
        <v>1389</v>
      </c>
      <c r="D73" s="889" t="s">
        <v>1390</v>
      </c>
    </row>
    <row r="74" spans="1:4">
      <c r="A74" s="224" t="s">
        <v>960</v>
      </c>
      <c r="B74" s="224" t="s">
        <v>1250</v>
      </c>
      <c r="C74" s="891" t="s">
        <v>2006</v>
      </c>
      <c r="D74" s="892" t="s">
        <v>45</v>
      </c>
    </row>
    <row r="75" spans="1:4">
      <c r="A75" s="870" t="s">
        <v>965</v>
      </c>
      <c r="B75" s="870" t="s">
        <v>975</v>
      </c>
      <c r="C75" s="890" t="s">
        <v>2007</v>
      </c>
      <c r="D75" s="718" t="s">
        <v>1347</v>
      </c>
    </row>
    <row r="76" spans="1:4" s="882" customFormat="1">
      <c r="A76" s="883" t="s">
        <v>966</v>
      </c>
      <c r="B76" s="883" t="s">
        <v>1249</v>
      </c>
      <c r="C76" s="885" t="s">
        <v>2009</v>
      </c>
      <c r="D76" s="881" t="s">
        <v>45</v>
      </c>
    </row>
    <row r="77" spans="1:4" s="882" customFormat="1">
      <c r="A77" s="883" t="s">
        <v>964</v>
      </c>
      <c r="B77" s="883" t="s">
        <v>980</v>
      </c>
      <c r="C77" s="885" t="s">
        <v>2008</v>
      </c>
      <c r="D77" s="893" t="s">
        <v>1347</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54" zoomScale="80" zoomScaleNormal="80" zoomScaleSheetLayoutView="104" workbookViewId="0">
      <selection activeCell="A277" sqref="A277"/>
    </sheetView>
  </sheetViews>
  <sheetFormatPr defaultRowHeight="14.4"/>
  <cols>
    <col min="1" max="1" width="50.6640625" style="17" customWidth="1"/>
    <col min="2" max="2" width="20.6640625" customWidth="1"/>
    <col min="3" max="3" width="50.6640625" customWidth="1"/>
    <col min="4" max="4" width="80.6640625" customWidth="1"/>
    <col min="5" max="5" width="5.6640625" customWidth="1"/>
    <col min="6" max="9" width="60.6640625" customWidth="1"/>
    <col min="10" max="10" width="65.33203125" bestFit="1" customWidth="1"/>
  </cols>
  <sheetData>
    <row r="1" spans="1:11" ht="30" customHeight="1" thickBot="1">
      <c r="A1" s="144" t="s">
        <v>1391</v>
      </c>
      <c r="B1" s="65" t="s">
        <v>1392</v>
      </c>
      <c r="C1" s="65" t="s">
        <v>1393</v>
      </c>
      <c r="D1" s="145" t="s">
        <v>1394</v>
      </c>
      <c r="F1" s="578" t="s">
        <v>1395</v>
      </c>
      <c r="G1" s="1219" t="s">
        <v>1396</v>
      </c>
      <c r="H1" s="1220"/>
      <c r="I1" s="577" t="s">
        <v>1397</v>
      </c>
      <c r="J1" s="577" t="s">
        <v>1397</v>
      </c>
      <c r="K1" s="577"/>
    </row>
    <row r="2" spans="1:11" ht="15" thickBot="1">
      <c r="A2" s="73" t="str" cm="1">
        <f t="array" ref="A2:A285">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65">_xlfn.UNIQUE(_xlfn._xlws.FILTER('Transfer coefficients'!A:A,'Transfer coefficients'!A:A &lt;&gt; ""))</f>
        <v>From</v>
      </c>
      <c r="H2" s="32" t="str" cm="1">
        <f t="array" ref="H2:H273">_xlfn.UNIQUE(_xlfn._xlws.FILTER('Transfer coefficients'!B:B,'Transfer coefficients'!B:B &lt;&gt; ""))</f>
        <v>To</v>
      </c>
      <c r="I2" s="32" t="s">
        <v>951</v>
      </c>
      <c r="J2" t="s">
        <v>1398</v>
      </c>
      <c r="K2" s="32"/>
    </row>
    <row r="3" spans="1:11" ht="1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8">_xlfn.UNIQUE(J3:J650)</f>
        <v>Agriculture</v>
      </c>
      <c r="J3" t="str" cm="1">
        <f t="array" ref="J3:J626">_xlfn.VSTACK(F3:F30,G3:G300,H3:H300)</f>
        <v>Agriculture</v>
      </c>
    </row>
    <row r="4" spans="1:11" ht="1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Construction and demolition incinerable waste collection</v>
      </c>
      <c r="H72" s="313" t="str">
        <v>Infill material sports fields</v>
      </c>
      <c r="I72" s="501" t="str">
        <v>Highway</v>
      </c>
      <c r="J72" t="str">
        <v>Intentionally produced microparticles</v>
      </c>
    </row>
    <row r="73" spans="1:10" ht="1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Indoor air (micro)</v>
      </c>
      <c r="H73" s="313" t="str">
        <v>Infill material sports fields (discarded)</v>
      </c>
      <c r="I73" s="501" t="str">
        <v>Highway DAB</v>
      </c>
      <c r="J73" t="str">
        <v>Home textiles (in use)</v>
      </c>
    </row>
    <row r="74" spans="1:10" ht="1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Infill material sports fields</v>
      </c>
      <c r="H74" s="313" t="str">
        <v>Infill material sports fields (in use)</v>
      </c>
      <c r="I74" s="501" t="str">
        <v>Combined sewer overflow (macro)</v>
      </c>
      <c r="J74" t="str">
        <v>Household textiles (product sector)</v>
      </c>
    </row>
    <row r="75" spans="1:10" ht="1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Mixed waste collection</v>
      </c>
      <c r="H75" s="313" t="str">
        <v>Invitro diagnostic devices</v>
      </c>
      <c r="I75" s="501" t="str">
        <v>Packaging recycling</v>
      </c>
      <c r="J75" t="str">
        <v>Disposable cleaning cloths</v>
      </c>
    </row>
    <row r="76" spans="1:10" ht="15" thickBot="1">
      <c r="A76" s="74" t="str">
        <v>Construction and demolition incinerable waste collection</v>
      </c>
      <c r="B76" s="335" t="str">
        <f>IFERROR(VLOOKUP(A76,'Compartments_Kawecki&amp;Nowack19'!A:C,2,FALSE), IFERROR(VLOOKUP(A76,Compartments_Added!A:C,2,FALSE), "Not found"))</f>
        <v>Flow</v>
      </c>
      <c r="C76" s="335" t="str">
        <f>IFERROR(VLOOKUP(A76,'Compartments_Kawecki&amp;Nowack19'!A:C,3,FALSE), IFERROR(VLOOKUP(A76,Compartments_Added!A:C,3,FALSE), "Not found"))</f>
        <v>CDIncinerableCollection</v>
      </c>
      <c r="D76" s="95" t="str">
        <f>IFERROR(IF(VLOOKUP(A76,'Compartments_Kawecki&amp;Nowack19'!A:C,1,FALSE)=A76, "Kawecki","what?"),"Added/changed")</f>
        <v>Kawecki</v>
      </c>
      <c r="F76" s="17"/>
      <c r="G76" s="496" t="str">
        <v>Dumping</v>
      </c>
      <c r="H76" s="313" t="str">
        <v>Litter on road sides</v>
      </c>
      <c r="I76" s="501" t="str">
        <v>Sludge (macro)</v>
      </c>
      <c r="J76" t="str">
        <v>Non-consumer bags</v>
      </c>
    </row>
    <row r="77" spans="1:10" ht="15" thickBot="1">
      <c r="A77" s="74" t="str">
        <v>Indoor air (micro)</v>
      </c>
      <c r="B77" s="335" t="str">
        <f>IFERROR(VLOOKUP(A77,'Compartments_Kawecki&amp;Nowack19'!A:C,2,FALSE), IFERROR(VLOOKUP(A77,Compartments_Added!A:C,2,FALSE), "Not found"))</f>
        <v>Flow</v>
      </c>
      <c r="C77" s="335" t="str">
        <f>IFERROR(VLOOKUP(A77,'Compartments_Kawecki&amp;Nowack19'!A:C,3,FALSE), IFERROR(VLOOKUP(A77,Compartments_Added!A:C,3,FALSE), "Not found"))</f>
        <v>IndoorAirMicro</v>
      </c>
      <c r="D77" s="95" t="str">
        <f>IFERROR(IF(VLOOKUP(A77,'Compartments_Kawecki&amp;Nowack19'!A:C,1,FALSE)=A77, "Kawecki","what?"),"Added/changed")</f>
        <v>Kawecki</v>
      </c>
      <c r="F77" s="17"/>
      <c r="G77" s="496" t="str">
        <v>On-the-go consumption (nature)</v>
      </c>
      <c r="H77" s="313" t="str">
        <v>Litter in natural environments</v>
      </c>
      <c r="I77" s="501" t="str">
        <v>Sludge (micro)</v>
      </c>
      <c r="J77" t="str">
        <v>Other non-consumer films</v>
      </c>
    </row>
    <row r="78" spans="1:10" ht="15" thickBot="1">
      <c r="A78" s="74" t="str">
        <v>Infill material sports fields</v>
      </c>
      <c r="B78" s="335" t="str">
        <f>IFERROR(VLOOKUP(A78,'Compartments_Kawecki&amp;Nowack19'!A:C,2,FALSE), IFERROR(VLOOKUP(A78,Compartments_Added!A:C,2,FALSE), "Not found"))</f>
        <v>Flow</v>
      </c>
      <c r="C78" s="335" t="str">
        <f>IFERROR(VLOOKUP(A78,'Compartments_Kawecki&amp;Nowack19'!A:C,3,FALSE), IFERROR(VLOOKUP(A78,Compartments_Added!A:C,3,FALSE), "Not found"))</f>
        <v>InfillSportsField</v>
      </c>
      <c r="D78" s="95" t="str">
        <f>IFERROR(IF(VLOOKUP(A78,'Compartments_Kawecki&amp;Nowack19'!A:C,1,FALSE)=A78, "Kawecki","what?"),"Added/changed")</f>
        <v>Added/changed</v>
      </c>
      <c r="F78" s="17"/>
      <c r="G78" s="496" t="str">
        <v>On-the-go consumption (residential)</v>
      </c>
      <c r="H78" s="313" t="str">
        <v>Litter in residential environments</v>
      </c>
      <c r="I78" s="501" t="str">
        <v>Construction and demolition incinerable waste collection</v>
      </c>
      <c r="J78" t="str">
        <v>Other non-consumer packaging</v>
      </c>
    </row>
    <row r="79" spans="1:10" ht="15" thickBot="1">
      <c r="A79" s="74" t="str">
        <v>Mixed waste collection</v>
      </c>
      <c r="B79" s="335" t="str">
        <f>IFERROR(VLOOKUP(A79,'Compartments_Kawecki&amp;Nowack19'!A:C,2,FALSE), IFERROR(VLOOKUP(A79,Compartments_Added!A:C,2,FALSE), "Not found"))</f>
        <v>Flow</v>
      </c>
      <c r="C79" s="335" t="str">
        <f>IFERROR(VLOOKUP(A79,'Compartments_Kawecki&amp;Nowack19'!A:C,3,FALSE), IFERROR(VLOOKUP(A79,Compartments_Added!A:C,3,FALSE), "Not found"))</f>
        <v>MixedCollection</v>
      </c>
      <c r="D79" s="95" t="str">
        <f>IFERROR(IF(VLOOKUP(A79,'Compartments_Kawecki&amp;Nowack19'!A:C,1,FALSE)=A79, "Kawecki","what?"),"Added/changed")</f>
        <v>Kawecki</v>
      </c>
      <c r="F79" s="17"/>
      <c r="G79" s="496" t="str">
        <v>Mixed waste collection (micro)</v>
      </c>
      <c r="H79" s="313" t="str">
        <v>Wet wipes</v>
      </c>
      <c r="I79" s="501" t="str">
        <v>Indoor air (micro)</v>
      </c>
      <c r="J79" t="str">
        <v>Other technical textiles</v>
      </c>
    </row>
    <row r="80" spans="1:10" ht="15" thickBot="1">
      <c r="A80" s="74" t="str">
        <v>Dumping</v>
      </c>
      <c r="B80" s="335" t="str">
        <f>IFERROR(VLOOKUP(A80,'Compartments_Kawecki&amp;Nowack19'!A:C,2,FALSE), IFERROR(VLOOKUP(A80,Compartments_Added!A:C,2,FALSE), "Not found"))</f>
        <v>Flow</v>
      </c>
      <c r="C80" s="335" t="str">
        <f>IFERROR(VLOOKUP(A80,'Compartments_Kawecki&amp;Nowack19'!A:C,3,FALSE), IFERROR(VLOOKUP(A80,Compartments_Added!A:C,3,FALSE), "Not found"))</f>
        <v>Dumping</v>
      </c>
      <c r="D80" s="95" t="str">
        <f>IFERROR(IF(VLOOKUP(A80,'Compartments_Kawecki&amp;Nowack19'!A:C,1,FALSE)=A80, "Kawecki","what?"),"Added/changed")</f>
        <v>Kawecki</v>
      </c>
      <c r="F80" s="17"/>
      <c r="G80" s="496" t="str">
        <v>On-the-go consumption (transport)</v>
      </c>
      <c r="H80" s="313" t="str">
        <v>Medicine diffusion limitation (slow release)</v>
      </c>
      <c r="I80" s="501" t="str">
        <v>Infill material sports fields</v>
      </c>
      <c r="J80" t="str">
        <v>Panty liners</v>
      </c>
    </row>
    <row r="81" spans="1:10" ht="15" thickBot="1">
      <c r="A81" s="74" t="str">
        <v>On-the-go consumption (nature)</v>
      </c>
      <c r="B81" s="335" t="str">
        <f>IFERROR(VLOOKUP(A81,'Compartments_Kawecki&amp;Nowack19'!A:C,2,FALSE), IFERROR(VLOOKUP(A81,Compartments_Added!A:C,2,FALSE), "Not found"))</f>
        <v>Flow</v>
      </c>
      <c r="C81" s="335" t="str">
        <f>IFERROR(VLOOKUP(A81,'Compartments_Kawecki&amp;Nowack19'!A:C,3,FALSE), IFERROR(VLOOKUP(A81,Compartments_Added!A:C,3,FALSE), "Not found"))</f>
        <v>OnTheGoRural</v>
      </c>
      <c r="D81" s="95" t="str">
        <f>IFERROR(IF(VLOOKUP(A81,'Compartments_Kawecki&amp;Nowack19'!A:C,1,FALSE)=A81, "Kawecki","what?"),"Added/changed")</f>
        <v>Kawecki</v>
      </c>
      <c r="F81" s="17"/>
      <c r="G81" s="496" t="str">
        <v>Litter in natural environments</v>
      </c>
      <c r="H81" s="313" t="str">
        <v>Natural soil (macro)</v>
      </c>
      <c r="I81" s="501" t="str">
        <v>Mixed waste collection</v>
      </c>
      <c r="J81" t="str">
        <v>Sanitary pads</v>
      </c>
    </row>
    <row r="82" spans="1:10" ht="15" thickBot="1">
      <c r="A82" s="74" t="str">
        <v>On-the-go consumption (residential)</v>
      </c>
      <c r="B82" s="335" t="str">
        <f>IFERROR(VLOOKUP(A82,'Compartments_Kawecki&amp;Nowack19'!A:C,2,FALSE), IFERROR(VLOOKUP(A82,Compartments_Added!A:C,2,FALSE), "Not found"))</f>
        <v>Flow</v>
      </c>
      <c r="C82" s="335" t="str">
        <f>IFERROR(VLOOKUP(A82,'Compartments_Kawecki&amp;Nowack19'!A:C,3,FALSE), IFERROR(VLOOKUP(A82,Compartments_Added!A:C,3,FALSE), "Not found"))</f>
        <v>OnTheGoUrban</v>
      </c>
      <c r="D82" s="95" t="str">
        <f>IFERROR(IF(VLOOKUP(A82,'Compartments_Kawecki&amp;Nowack19'!A:C,1,FALSE)=A82, "Kawecki","what?"),"Added/changed")</f>
        <v>Kawecki</v>
      </c>
      <c r="F82" s="17"/>
      <c r="G82" s="496" t="str">
        <v>Indoor floors (micro)</v>
      </c>
      <c r="H82" s="313" t="str">
        <v>ELV textiles collection</v>
      </c>
      <c r="I82" s="501" t="str">
        <v>Dumping</v>
      </c>
      <c r="J82" t="str">
        <v>Tampons</v>
      </c>
    </row>
    <row r="83" spans="1:10" ht="15" thickBot="1">
      <c r="A83" s="74" t="str">
        <v>Mixed waste collection (micro)</v>
      </c>
      <c r="B83" s="335" t="str">
        <f>IFERROR(VLOOKUP(A83,'Compartments_Kawecki&amp;Nowack19'!A:C,2,FALSE), IFERROR(VLOOKUP(A83,Compartments_Added!A:C,2,FALSE), "Not found"))</f>
        <v>Flow</v>
      </c>
      <c r="C83" s="335" t="str">
        <f>IFERROR(VLOOKUP(A83,'Compartments_Kawecki&amp;Nowack19'!A:C,3,FALSE), IFERROR(VLOOKUP(A83,Compartments_Added!A:C,3,FALSE), "Not found"))</f>
        <v>MixedCollectionMicro</v>
      </c>
      <c r="D83" s="95" t="str">
        <f>IFERROR(IF(VLOOKUP(A83,'Compartments_Kawecki&amp;Nowack19'!A:C,1,FALSE)=A83, "Kawecki","what?"),"Added/changed")</f>
        <v>Added/changed</v>
      </c>
      <c r="F83" s="17"/>
      <c r="G83" s="496" t="str">
        <v>Litter in residential environments</v>
      </c>
      <c r="H83" s="313" t="str">
        <v>Mixed waste collection (micro)</v>
      </c>
      <c r="I83" s="501" t="str">
        <v>On-the-go consumption (nature)</v>
      </c>
      <c r="J83" t="str">
        <v>Technical home textiles (discarded)</v>
      </c>
    </row>
    <row r="84" spans="1:10" ht="15" thickBot="1">
      <c r="A84" s="74" t="str">
        <v>On-the-go consumption (transport)</v>
      </c>
      <c r="B84" s="335" t="str">
        <f>IFERROR(VLOOKUP(A84,'Compartments_Kawecki&amp;Nowack19'!A:C,2,FALSE), IFERROR(VLOOKUP(A84,Compartments_Added!A:C,2,FALSE), "Not found"))</f>
        <v>Flow</v>
      </c>
      <c r="C84" s="335" t="str">
        <f>IFERROR(VLOOKUP(A84,'Compartments_Kawecki&amp;Nowack19'!A:C,3,FALSE), IFERROR(VLOOKUP(A84,Compartments_Added!A:C,3,FALSE), "Not found"))</f>
        <v>OnTheGoTransport</v>
      </c>
      <c r="D84" s="95" t="str">
        <f>IFERROR(IF(VLOOKUP(A84,'Compartments_Kawecki&amp;Nowack19'!A:C,1,FALSE)=A84, "Kawecki","what?"),"Added/changed")</f>
        <v>Kawecki</v>
      </c>
      <c r="F84" s="17"/>
      <c r="G84" s="496" t="str">
        <v>Medical textiles</v>
      </c>
      <c r="H84" s="313" t="str">
        <v>Technical home textiles (discarded)</v>
      </c>
      <c r="I84" s="501" t="str">
        <v>On-the-go consumption (residential)</v>
      </c>
      <c r="J84" t="str">
        <v>Incineration</v>
      </c>
    </row>
    <row r="85" spans="1:10" ht="15" thickBot="1">
      <c r="A85" s="74" t="str">
        <v>Litter in natural environments</v>
      </c>
      <c r="B85" s="335" t="str">
        <f>IFERROR(VLOOKUP(A85,'Compartments_Kawecki&amp;Nowack19'!A:C,2,FALSE), IFERROR(VLOOKUP(A85,Compartments_Added!A:C,2,FALSE), "Not found"))</f>
        <v>Flow</v>
      </c>
      <c r="C85" s="335" t="str">
        <f>IFERROR(VLOOKUP(A85,'Compartments_Kawecki&amp;Nowack19'!A:C,3,FALSE), IFERROR(VLOOKUP(A85,Compartments_Added!A:C,3,FALSE), "Not found"))</f>
        <v>RuralLitter</v>
      </c>
      <c r="D85" s="95" t="str">
        <f>IFERROR(IF(VLOOKUP(A85,'Compartments_Kawecki&amp;Nowack19'!A:C,1,FALSE)=A85, "Kawecki","what?"),"Added/changed")</f>
        <v>Kawecki</v>
      </c>
      <c r="F85" s="17"/>
      <c r="G85" s="496" t="str">
        <v>Mobility textiles</v>
      </c>
      <c r="H85" s="313" t="str">
        <v>Technical home textiles (in use)</v>
      </c>
      <c r="I85" s="501" t="str">
        <v>Mixed waste collection (micro)</v>
      </c>
      <c r="J85" t="str">
        <v>Packaging collection</v>
      </c>
    </row>
    <row r="86" spans="1:10" ht="15" thickBot="1">
      <c r="A86" s="74" t="str">
        <v>Indoor floors (micro)</v>
      </c>
      <c r="B86" s="335" t="str">
        <f>IFERROR(VLOOKUP(A86,'Compartments_Kawecki&amp;Nowack19'!A:C,2,FALSE), IFERROR(VLOOKUP(A86,Compartments_Added!A:C,2,FALSE), "Not found"))</f>
        <v>Flow</v>
      </c>
      <c r="C86" s="335" t="str">
        <f>IFERROR(VLOOKUP(A86,'Compartments_Kawecki&amp;Nowack19'!A:C,3,FALSE), IFERROR(VLOOKUP(A86,Compartments_Added!A:C,3,FALSE), "Not found"))</f>
        <v>FloorCleaning</v>
      </c>
      <c r="D86" s="95" t="str">
        <f>IFERROR(IF(VLOOKUP(A86,'Compartments_Kawecki&amp;Nowack19'!A:C,1,FALSE)=A86, "Kawecki","what?"),"Added/changed")</f>
        <v>Kawecki</v>
      </c>
      <c r="F86" s="17"/>
      <c r="G86" s="496" t="str">
        <v>Textile coating (discarded)</v>
      </c>
      <c r="H86" s="313" t="str">
        <v>Agrotextiles</v>
      </c>
      <c r="I86" s="501" t="str">
        <v>On-the-go consumption (transport)</v>
      </c>
      <c r="J86" t="str">
        <v>Agricultural plastic recycling</v>
      </c>
    </row>
    <row r="87" spans="1:10" ht="15" thickBot="1">
      <c r="A87" s="74" t="str">
        <v>Litter in residential environments</v>
      </c>
      <c r="B87" s="335" t="str">
        <f>IFERROR(VLOOKUP(A87,'Compartments_Kawecki&amp;Nowack19'!A:C,2,FALSE), IFERROR(VLOOKUP(A87,Compartments_Added!A:C,2,FALSE), "Not found"))</f>
        <v>Flow</v>
      </c>
      <c r="C87" s="335" t="str">
        <f>IFERROR(VLOOKUP(A87,'Compartments_Kawecki&amp;Nowack19'!A:C,3,FALSE), IFERROR(VLOOKUP(A87,Compartments_Added!A:C,3,FALSE), "Not found"))</f>
        <v>UrbanLitter</v>
      </c>
      <c r="D87" s="95" t="str">
        <f>IFERROR(IF(VLOOKUP(A87,'Compartments_Kawecki&amp;Nowack19'!A:C,1,FALSE)=A87, "Kawecki","what?"),"Added/changed")</f>
        <v>Kawecki</v>
      </c>
      <c r="F87" s="17"/>
      <c r="G87" s="496" t="str">
        <v>Wet wipes</v>
      </c>
      <c r="H87" s="313" t="str">
        <v>Natural soil (micro)</v>
      </c>
      <c r="I87" s="501" t="str">
        <v>Litter in natural environments</v>
      </c>
      <c r="J87" t="str">
        <v>Domestic primary plastic production</v>
      </c>
    </row>
    <row r="88" spans="1:10" ht="15" thickBot="1">
      <c r="A88" s="74" t="str">
        <v>Medical textiles</v>
      </c>
      <c r="B88" s="335" t="str">
        <f>IFERROR(VLOOKUP(A88,'Compartments_Kawecki&amp;Nowack19'!A:C,2,FALSE), IFERROR(VLOOKUP(A88,Compartments_Added!A:C,2,FALSE), "Not found"))</f>
        <v>Stock</v>
      </c>
      <c r="C88" s="335" t="str">
        <f>IFERROR(VLOOKUP(A88,'Compartments_Kawecki&amp;Nowack19'!A:C,3,FALSE), IFERROR(VLOOKUP(A88,Compartments_Added!A:C,3,FALSE), "Not found"))</f>
        <v>MedicalTextiles</v>
      </c>
      <c r="D88" s="95" t="str">
        <f>IFERROR(IF(VLOOKUP(A88,'Compartments_Kawecki&amp;Nowack19'!A:C,1,FALSE)=A88, "Kawecki","what?"),"Added/changed")</f>
        <v>Added/changed</v>
      </c>
      <c r="F88" s="17"/>
      <c r="G88" s="496" t="str">
        <v>Detergents and maintenance products</v>
      </c>
      <c r="H88" s="313" t="str">
        <v>Non-consumer bags</v>
      </c>
      <c r="I88" s="501" t="str">
        <v>Indoor floors (micro)</v>
      </c>
      <c r="J88" t="str">
        <v>Import of primary plastics</v>
      </c>
    </row>
    <row r="89" spans="1:10" ht="15" thickBot="1">
      <c r="A89" s="74" t="str">
        <v>Mobility textiles</v>
      </c>
      <c r="B89" s="335" t="str">
        <f>IFERROR(VLOOKUP(A89,'Compartments_Kawecki&amp;Nowack19'!A:C,2,FALSE), IFERROR(VLOOKUP(A89,Compartments_Added!A:C,2,FALSE), "Not found"))</f>
        <v>Stock</v>
      </c>
      <c r="C89" s="335" t="str">
        <f>IFERROR(VLOOKUP(A89,'Compartments_Kawecki&amp;Nowack19'!A:C,3,FALSE), IFERROR(VLOOKUP(A89,Compartments_Added!A:C,3,FALSE), "Not found"))</f>
        <v>MobilityTextiles</v>
      </c>
      <c r="D89" s="95" t="str">
        <f>IFERROR(IF(VLOOKUP(A89,'Compartments_Kawecki&amp;Nowack19'!A:C,1,FALSE)=A89, "Kawecki","what?"),"Added/changed")</f>
        <v>Kawecki</v>
      </c>
      <c r="F89" s="17"/>
      <c r="G89" s="496" t="str">
        <v>Infill material sports fields (in use)</v>
      </c>
      <c r="H89" s="313" t="str">
        <v>Offshore oil &amp; gas applications</v>
      </c>
      <c r="I89" s="501" t="str">
        <v>Litter in residential environments</v>
      </c>
      <c r="J89" t="str">
        <v>Industrial stormwater (micro)</v>
      </c>
    </row>
    <row r="90" spans="1:10" ht="15" thickBot="1">
      <c r="A90" s="74" t="str">
        <v>Textile coating (discarded)</v>
      </c>
      <c r="B90" s="335" t="str">
        <f>IFERROR(VLOOKUP(A90,'Compartments_Kawecki&amp;Nowack19'!A:C,2,FALSE), IFERROR(VLOOKUP(A90,Compartments_Added!A:C,2,FALSE), "Not found"))</f>
        <v>Stock</v>
      </c>
      <c r="C90" s="335" t="str">
        <f>IFERROR(VLOOKUP(A90,'Compartments_Kawecki&amp;Nowack19'!A:C,3,FALSE), IFERROR(VLOOKUP(A90,Compartments_Added!A:C,3,FALSE), "Not found"))</f>
        <v>TextileCoatingDis</v>
      </c>
      <c r="D90" s="95" t="str">
        <f>IFERROR(IF(VLOOKUP(A90,'Compartments_Kawecki&amp;Nowack19'!A:C,1,FALSE)=A90, "Kawecki","what?"),"Added/changed")</f>
        <v>Added/changed</v>
      </c>
      <c r="F90" s="17"/>
      <c r="G90" s="496" t="str">
        <v>Infill material sports fields (discarded)</v>
      </c>
      <c r="H90" s="313" t="str">
        <v>On-site sewage facility (macro)</v>
      </c>
      <c r="I90" s="501" t="str">
        <v>Medical textiles</v>
      </c>
      <c r="J90" t="str">
        <v>Pellet conversion</v>
      </c>
    </row>
    <row r="91" spans="1:10" ht="15" thickBot="1">
      <c r="A91" s="74" t="str">
        <v>Wet wipes</v>
      </c>
      <c r="B91" s="335" t="str">
        <f>IFERROR(VLOOKUP(A91,'Compartments_Kawecki&amp;Nowack19'!A:C,2,FALSE), IFERROR(VLOOKUP(A91,Compartments_Added!A:C,2,FALSE), "Not found"))</f>
        <v>Flow</v>
      </c>
      <c r="C91" s="335" t="str">
        <f>IFERROR(VLOOKUP(A91,'Compartments_Kawecki&amp;Nowack19'!A:C,3,FALSE), IFERROR(VLOOKUP(A91,Compartments_Added!A:C,3,FALSE), "Not found"))</f>
        <v>WetWipes</v>
      </c>
      <c r="D91" s="95" t="str">
        <f>IFERROR(IF(VLOOKUP(A91,'Compartments_Kawecki&amp;Nowack19'!A:C,1,FALSE)=A91, "Kawecki","what?"),"Added/changed")</f>
        <v>Kawecki</v>
      </c>
      <c r="F91" s="17"/>
      <c r="G91" s="496" t="str">
        <v>Food additives</v>
      </c>
      <c r="H91" s="313" t="str">
        <v>On-the-go consumption</v>
      </c>
      <c r="I91" s="501" t="str">
        <v>Mobility textiles</v>
      </c>
      <c r="J91" t="str">
        <v>Stormwater (macro)</v>
      </c>
    </row>
    <row r="92" spans="1:10" ht="15" thickBot="1">
      <c r="A92" s="74" t="str">
        <v>Detergents and maintenance products</v>
      </c>
      <c r="B92" s="335" t="str">
        <f>IFERROR(VLOOKUP(A92,'Compartments_Kawecki&amp;Nowack19'!A:C,2,FALSE), IFERROR(VLOOKUP(A92,Compartments_Added!A:C,2,FALSE), "Not found"))</f>
        <v>Flow</v>
      </c>
      <c r="C92" s="335" t="str">
        <f>IFERROR(VLOOKUP(A92,'Compartments_Kawecki&amp;Nowack19'!A:C,3,FALSE), IFERROR(VLOOKUP(A92,Compartments_Added!A:C,3,FALSE), "Not found"))</f>
        <v>Detergents</v>
      </c>
      <c r="D92" s="95" t="str">
        <f>IFERROR(IF(VLOOKUP(A92,'Compartments_Kawecki&amp;Nowack19'!A:C,1,FALSE)=A92, "Kawecki","what?"),"Added/changed")</f>
        <v>Added/changed</v>
      </c>
      <c r="F92" s="17"/>
      <c r="G92" s="496" t="str">
        <v>Invitro diagnostic devices</v>
      </c>
      <c r="H92" s="313" t="str">
        <v>On-the-go consumption (nature)</v>
      </c>
      <c r="I92" s="501" t="str">
        <v>Textile coating (discarded)</v>
      </c>
      <c r="J92" t="str">
        <v>Stormwater (micro)</v>
      </c>
    </row>
    <row r="93" spans="1:10" ht="15" thickBot="1">
      <c r="A93" s="74" t="str">
        <v>Infill material sports fields (in use)</v>
      </c>
      <c r="B93" s="335" t="str">
        <f>IFERROR(VLOOKUP(A93,'Compartments_Kawecki&amp;Nowack19'!A:C,2,FALSE), IFERROR(VLOOKUP(A93,Compartments_Added!A:C,2,FALSE), "Not found"))</f>
        <v>Stock</v>
      </c>
      <c r="C93" s="335" t="str">
        <f>IFERROR(VLOOKUP(A93,'Compartments_Kawecki&amp;Nowack19'!A:C,3,FALSE), IFERROR(VLOOKUP(A93,Compartments_Added!A:C,3,FALSE), "Not found"))</f>
        <v>InfillSportsFieldU</v>
      </c>
      <c r="D93" s="95" t="str">
        <f>IFERROR(IF(VLOOKUP(A93,'Compartments_Kawecki&amp;Nowack19'!A:C,1,FALSE)=A93, "Kawecki","what?"),"Added/changed")</f>
        <v>Added/changed</v>
      </c>
      <c r="F93" s="17"/>
      <c r="G93" s="496" t="str">
        <v>Medicine diffusion limitation (slow release)</v>
      </c>
      <c r="H93" s="313" t="str">
        <v>On-the-go consumption (residential)</v>
      </c>
      <c r="I93" s="501" t="str">
        <v>Wet wipes</v>
      </c>
      <c r="J93" t="str">
        <v>Transport of primary plastics</v>
      </c>
    </row>
    <row r="94" spans="1:10" ht="15" thickBot="1">
      <c r="A94" s="74" t="str">
        <v>Infill material sports fields (discarded)</v>
      </c>
      <c r="B94" s="335" t="str">
        <f>IFERROR(VLOOKUP(A94,'Compartments_Kawecki&amp;Nowack19'!A:C,2,FALSE), IFERROR(VLOOKUP(A94,Compartments_Added!A:C,2,FALSE), "Not found"))</f>
        <v>Stock</v>
      </c>
      <c r="C94" s="335" t="str">
        <f>IFERROR(VLOOKUP(A94,'Compartments_Kawecki&amp;Nowack19'!A:C,3,FALSE), IFERROR(VLOOKUP(A94,Compartments_Added!A:C,3,FALSE), "Not found"))</f>
        <v>InfillSportsFieldDis</v>
      </c>
      <c r="D94" s="95" t="str">
        <f>IFERROR(IF(VLOOKUP(A94,'Compartments_Kawecki&amp;Nowack19'!A:C,1,FALSE)=A94, "Kawecki","what?"),"Added/changed")</f>
        <v>Added/changed</v>
      </c>
      <c r="F94" s="17"/>
      <c r="G94" s="496" t="str">
        <v>PCCP</v>
      </c>
      <c r="H94" s="313" t="str">
        <v>On-the-go consumption (transport)</v>
      </c>
      <c r="I94" s="501" t="str">
        <v>Detergents and maintenance products</v>
      </c>
      <c r="J94" t="str">
        <v>Highway</v>
      </c>
    </row>
    <row r="95" spans="1:10" ht="15" thickBot="1">
      <c r="A95" s="74" t="str">
        <v>Food additives</v>
      </c>
      <c r="B95" s="335" t="str">
        <f>IFERROR(VLOOKUP(A95,'Compartments_Kawecki&amp;Nowack19'!A:C,2,FALSE), IFERROR(VLOOKUP(A95,Compartments_Added!A:C,2,FALSE), "Not found"))</f>
        <v>Flow</v>
      </c>
      <c r="C95" s="335" t="str">
        <f>IFERROR(VLOOKUP(A95,'Compartments_Kawecki&amp;Nowack19'!A:C,3,FALSE), IFERROR(VLOOKUP(A95,Compartments_Added!A:C,3,FALSE), "Not found"))</f>
        <v>FoodAdditive</v>
      </c>
      <c r="D95" s="95" t="str">
        <f>IFERROR(IF(VLOOKUP(A95,'Compartments_Kawecki&amp;Nowack19'!A:C,1,FALSE)=A95, "Kawecki","what?"),"Added/changed")</f>
        <v>Added/changed</v>
      </c>
      <c r="F95" s="17"/>
      <c r="G95" s="496" t="str">
        <v>Technical home textiles</v>
      </c>
      <c r="H95" s="313" t="str">
        <v>Other consumer packaging</v>
      </c>
      <c r="I95" s="501" t="str">
        <v>Infill material sports fields (in use)</v>
      </c>
      <c r="J95" t="str">
        <v>Highway DAB</v>
      </c>
    </row>
    <row r="96" spans="1:10" ht="15" thickBot="1">
      <c r="A96" s="74" t="str">
        <v>Invitro diagnostic devices</v>
      </c>
      <c r="B96" s="335" t="str">
        <f>IFERROR(VLOOKUP(A96,'Compartments_Kawecki&amp;Nowack19'!A:C,2,FALSE), IFERROR(VLOOKUP(A96,Compartments_Added!A:C,2,FALSE), "Not found"))</f>
        <v>Flow</v>
      </c>
      <c r="C96" s="335" t="str">
        <f>IFERROR(VLOOKUP(A96,'Compartments_Kawecki&amp;Nowack19'!A:C,3,FALSE), IFERROR(VLOOKUP(A96,Compartments_Added!A:C,3,FALSE), "Not found"))</f>
        <v>IVD</v>
      </c>
      <c r="D96" s="95" t="str">
        <f>IFERROR(IF(VLOOKUP(A96,'Compartments_Kawecki&amp;Nowack19'!A:C,1,FALSE)=A96, "Kawecki","what?"),"Added/changed")</f>
        <v>Added/changed</v>
      </c>
      <c r="F96" s="17"/>
      <c r="G96" s="496" t="str">
        <v>Technical home textiles (in use)</v>
      </c>
      <c r="H96" s="313" t="str">
        <v>Other non-consumer films</v>
      </c>
      <c r="I96" s="501" t="str">
        <v>Infill material sports fields (discarded)</v>
      </c>
      <c r="J96" t="str">
        <v>Combined sewer overflow (macro)</v>
      </c>
    </row>
    <row r="97" spans="1:10" ht="15" thickBot="1">
      <c r="A97" s="74" t="str">
        <v>Medicine diffusion limitation (slow release)</v>
      </c>
      <c r="B97" s="335" t="str">
        <f>IFERROR(VLOOKUP(A97,'Compartments_Kawecki&amp;Nowack19'!A:C,2,FALSE), IFERROR(VLOOKUP(A97,Compartments_Added!A:C,2,FALSE), "Not found"))</f>
        <v>Flow</v>
      </c>
      <c r="C97" s="335" t="str">
        <f>IFERROR(VLOOKUP(A97,'Compartments_Kawecki&amp;Nowack19'!A:C,3,FALSE), IFERROR(VLOOKUP(A97,Compartments_Added!A:C,3,FALSE), "Not found"))</f>
        <v>MedicineDiff</v>
      </c>
      <c r="D97" s="95" t="str">
        <f>IFERROR(IF(VLOOKUP(A97,'Compartments_Kawecki&amp;Nowack19'!A:C,1,FALSE)=A97, "Kawecki","what?"),"Added/changed")</f>
        <v>Added/changed</v>
      </c>
      <c r="F97" s="17"/>
      <c r="G97" s="496" t="str">
        <v>Technical textiles</v>
      </c>
      <c r="H97" s="313" t="str">
        <v>Other non-consumer packaging</v>
      </c>
      <c r="I97" s="501" t="str">
        <v>Food additives</v>
      </c>
      <c r="J97" t="str">
        <v>Packaging recycling</v>
      </c>
    </row>
    <row r="98" spans="1:10" ht="15" thickBot="1">
      <c r="A98" s="74" t="str">
        <v>PCCP</v>
      </c>
      <c r="B98" s="335" t="str">
        <f>IFERROR(VLOOKUP(A98,'Compartments_Kawecki&amp;Nowack19'!A:C,2,FALSE), IFERROR(VLOOKUP(A98,Compartments_Added!A:C,2,FALSE), "Not found"))</f>
        <v>Flow</v>
      </c>
      <c r="C98" s="335" t="str">
        <f>IFERROR(VLOOKUP(A98,'Compartments_Kawecki&amp;Nowack19'!A:C,3,FALSE), IFERROR(VLOOKUP(A98,Compartments_Added!A:C,3,FALSE), "Not found"))</f>
        <v>PCCP</v>
      </c>
      <c r="D98" s="95" t="str">
        <f>IFERROR(IF(VLOOKUP(A98,'Compartments_Kawecki&amp;Nowack19'!A:C,1,FALSE)=A98, "Kawecki","what?"),"Added/changed")</f>
        <v>Kawecki</v>
      </c>
      <c r="F98" s="17"/>
      <c r="G98" s="496" t="str">
        <v>Textile coating (in use)</v>
      </c>
      <c r="H98" s="313" t="str">
        <v>Building textiles</v>
      </c>
      <c r="I98" s="501" t="str">
        <v>Invitro diagnostic devices</v>
      </c>
      <c r="J98" t="str">
        <v>Sludge (macro)</v>
      </c>
    </row>
    <row r="99" spans="1:10" ht="15" thickBot="1">
      <c r="A99" s="74" t="str">
        <v>Technical home textiles</v>
      </c>
      <c r="B99" s="335" t="str">
        <f>IFERROR(VLOOKUP(A99,'Compartments_Kawecki&amp;Nowack19'!A:C,2,FALSE), IFERROR(VLOOKUP(A99,Compartments_Added!A:C,2,FALSE), "Not found"))</f>
        <v>Flow</v>
      </c>
      <c r="C99" s="335" t="str">
        <f>IFERROR(VLOOKUP(A99,'Compartments_Kawecki&amp;Nowack19'!A:C,3,FALSE), IFERROR(VLOOKUP(A99,Compartments_Added!A:C,3,FALSE), "Not found"))</f>
        <v>TechHomeTextiles</v>
      </c>
      <c r="D99" s="95" t="str">
        <f>IFERROR(IF(VLOOKUP(A99,'Compartments_Kawecki&amp;Nowack19'!A:C,1,FALSE)=A99, "Kawecki","what?"),"Added/changed")</f>
        <v>Added/changed</v>
      </c>
      <c r="F99" s="17"/>
      <c r="G99" s="496" t="str">
        <v>Wastewater (macro)</v>
      </c>
      <c r="H99" s="313" t="str">
        <v>Road side soil (micro)</v>
      </c>
      <c r="I99" s="501" t="str">
        <v>Medicine diffusion limitation (slow release)</v>
      </c>
      <c r="J99" t="str">
        <v>Sludge (micro)</v>
      </c>
    </row>
    <row r="100" spans="1:10" ht="15" thickBot="1">
      <c r="A100" s="74" t="str">
        <v>Technical home textiles (in use)</v>
      </c>
      <c r="B100" s="335" t="str">
        <f>IFERROR(VLOOKUP(A100,'Compartments_Kawecki&amp;Nowack19'!A:C,2,FALSE), IFERROR(VLOOKUP(A100,Compartments_Added!A:C,2,FALSE), "Not found"))</f>
        <v>Stock</v>
      </c>
      <c r="C100" s="335" t="str">
        <f>IFERROR(VLOOKUP(A100,'Compartments_Kawecki&amp;Nowack19'!A:C,3,FALSE), IFERROR(VLOOKUP(A100,Compartments_Added!A:C,3,FALSE), "Not found"))</f>
        <v>TechHomeTextilesIU</v>
      </c>
      <c r="D100" s="95" t="str">
        <f>IFERROR(IF(VLOOKUP(A100,'Compartments_Kawecki&amp;Nowack19'!A:C,1,FALSE)=A100, "Kawecki","what?"),"Added/changed")</f>
        <v>Added/changed</v>
      </c>
      <c r="F100" s="17"/>
      <c r="G100" s="496" t="str">
        <v>On-the-go consumption</v>
      </c>
      <c r="H100" s="313" t="str">
        <v>Highway ZOAB non cleaned</v>
      </c>
      <c r="I100" s="501" t="str">
        <v>PCCP</v>
      </c>
      <c r="J100" t="str">
        <v>Construction and demolition incinerable waste collection</v>
      </c>
    </row>
    <row r="101" spans="1:10" ht="15" thickBot="1">
      <c r="A101" s="74" t="str">
        <v>Textile coating (in use)</v>
      </c>
      <c r="B101" s="335" t="str">
        <f>IFERROR(VLOOKUP(A101,'Compartments_Kawecki&amp;Nowack19'!A:C,2,FALSE), IFERROR(VLOOKUP(A101,Compartments_Added!A:C,2,FALSE), "Not found"))</f>
        <v>Stock</v>
      </c>
      <c r="C101" s="335" t="str">
        <f>IFERROR(VLOOKUP(A101,'Compartments_Kawecki&amp;Nowack19'!A:C,3,FALSE), IFERROR(VLOOKUP(A101,Compartments_Added!A:C,3,FALSE), "Not found"))</f>
        <v>TextileCoatingIU</v>
      </c>
      <c r="D101" s="95" t="str">
        <f>IFERROR(IF(VLOOKUP(A101,'Compartments_Kawecki&amp;Nowack19'!A:C,1,FALSE)=A101, "Kawecki","what?"),"Added/changed")</f>
        <v>Added/changed</v>
      </c>
      <c r="F101" s="17"/>
      <c r="G101" s="496" t="str">
        <v>Highway DAB non cleaned</v>
      </c>
      <c r="H101" s="313" t="str">
        <v>Packaging collection</v>
      </c>
      <c r="I101" s="501" t="str">
        <v>Technical home textiles</v>
      </c>
      <c r="J101" t="str">
        <v>Indoor air (micro)</v>
      </c>
    </row>
    <row r="102" spans="1:10" ht="15" thickBot="1">
      <c r="A102" s="74" t="str">
        <v>Wastewater (macro)</v>
      </c>
      <c r="B102" s="335" t="str">
        <f>IFERROR(VLOOKUP(A102,'Compartments_Kawecki&amp;Nowack19'!A:C,2,FALSE), IFERROR(VLOOKUP(A102,Compartments_Added!A:C,2,FALSE), "Not found"))</f>
        <v>Flow</v>
      </c>
      <c r="C102" s="335" t="str">
        <f>IFERROR(VLOOKUP(A102,'Compartments_Kawecki&amp;Nowack19'!A:C,3,FALSE), IFERROR(VLOOKUP(A102,Compartments_Added!A:C,3,FALSE), "Not found"))</f>
        <v>WasteWaterMacro</v>
      </c>
      <c r="D102" s="95" t="str">
        <f>IFERROR(IF(VLOOKUP(A102,'Compartments_Kawecki&amp;Nowack19'!A:C,1,FALSE)=A102, "Kawecki","what?"),"Added/changed")</f>
        <v>Kawecki</v>
      </c>
      <c r="F102" s="17"/>
      <c r="G102" s="496" t="str">
        <v>Highway ZOAB</v>
      </c>
      <c r="H102" s="313" t="str">
        <v>Packaging recycling</v>
      </c>
      <c r="I102" s="501" t="str">
        <v>Technical home textiles (in use)</v>
      </c>
      <c r="J102" t="str">
        <v>Infill material sports fields</v>
      </c>
    </row>
    <row r="103" spans="1:10" ht="15" thickBot="1">
      <c r="A103" s="74" t="str">
        <v>On-the-go consumption</v>
      </c>
      <c r="B103" s="335" t="str">
        <f>IFERROR(VLOOKUP(A103,'Compartments_Kawecki&amp;Nowack19'!A:C,2,FALSE), IFERROR(VLOOKUP(A103,Compartments_Added!A:C,2,FALSE), "Not found"))</f>
        <v>Flow</v>
      </c>
      <c r="C103" s="335" t="str">
        <f>IFERROR(VLOOKUP(A103,'Compartments_Kawecki&amp;Nowack19'!A:C,3,FALSE), IFERROR(VLOOKUP(A103,Compartments_Added!A:C,3,FALSE), "Not found"))</f>
        <v>OnTheGo</v>
      </c>
      <c r="D103" s="95" t="str">
        <f>IFERROR(IF(VLOOKUP(A103,'Compartments_Kawecki&amp;Nowack19'!A:C,1,FALSE)=A103, "Kawecki","what?"),"Added/changed")</f>
        <v>Kawecki</v>
      </c>
      <c r="F103" s="17"/>
      <c r="G103" s="496" t="str">
        <v>Highway ZOAB non cleaned</v>
      </c>
      <c r="H103" s="313" t="str">
        <v>Geotextiles</v>
      </c>
      <c r="I103" s="501" t="str">
        <v>Textile coating (in use)</v>
      </c>
      <c r="J103" t="str">
        <v>Mixed waste collection</v>
      </c>
    </row>
    <row r="104" spans="1:10" ht="15" thickBot="1">
      <c r="A104" s="74" t="str">
        <v>Highway DAB non cleaned</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HighwayDABnc</v>
      </c>
      <c r="D104" s="95" t="str">
        <f>IFERROR(IF(VLOOKUP(A104,'Compartments_Kawecki&amp;Nowack19'!A:C,1,FALSE)=A104, "Kawecki","what?"),"Added/changed")</f>
        <v>Added/changed</v>
      </c>
      <c r="F104" s="17"/>
      <c r="G104" s="496" t="str">
        <v>Road cleaning</v>
      </c>
      <c r="H104" s="313" t="str">
        <v>PCCP</v>
      </c>
      <c r="I104" s="501" t="str">
        <v>Wastewater (macro)</v>
      </c>
      <c r="J104" t="str">
        <v>Dumping</v>
      </c>
    </row>
    <row r="105" spans="1:10" ht="15" thickBot="1">
      <c r="A105" s="74" t="str">
        <v>Highway ZOAB</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HighwayZOAB</v>
      </c>
      <c r="D105" s="95" t="str">
        <f>IFERROR(IF(VLOOKUP(A105,'Compartments_Kawecki&amp;Nowack19'!A:C,1,FALSE)=A105, "Kawecki","what?"),"Added/changed")</f>
        <v>Added/changed</v>
      </c>
      <c r="F105" s="17"/>
      <c r="G105" s="496" t="str">
        <v>Road runoff</v>
      </c>
      <c r="H105" s="313" t="str">
        <v>Plant protection products</v>
      </c>
      <c r="I105" s="501" t="str">
        <v>On-the-go consumption</v>
      </c>
      <c r="J105" t="str">
        <v>On-the-go consumption (nature)</v>
      </c>
    </row>
    <row r="106" spans="1:10" ht="15" thickBot="1">
      <c r="A106" s="74" t="str">
        <v>Highway ZOAB non cleaned</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HighwayZOABnc</v>
      </c>
      <c r="D106" s="95" t="str">
        <f>IFERROR(IF(VLOOKUP(A106,'Compartments_Kawecki&amp;Nowack19'!A:C,1,FALSE)=A106, "Kawecki","what?"),"Added/changed")</f>
        <v>Added/changed</v>
      </c>
      <c r="F106" s="17"/>
      <c r="G106" s="496" t="str">
        <v>Rural roads</v>
      </c>
      <c r="H106" s="313" t="str">
        <v>Primary water treatment (macro)</v>
      </c>
      <c r="I106" s="501" t="str">
        <v>Highway DAB non cleaned</v>
      </c>
      <c r="J106" t="str">
        <v>On-the-go consumption (residential)</v>
      </c>
    </row>
    <row r="107" spans="1:10" ht="15" thickBot="1">
      <c r="A107" s="74" t="str">
        <v>Road cleaning</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RoadCleaning</v>
      </c>
      <c r="D107" s="95" t="str">
        <f>IFERROR(IF(VLOOKUP(A107,'Compartments_Kawecki&amp;Nowack19'!A:C,1,FALSE)=A107, "Kawecki","what?"),"Added/changed")</f>
        <v>Added/changed</v>
      </c>
      <c r="F107" s="17"/>
      <c r="G107" s="496" t="str">
        <v>Tyre wear</v>
      </c>
      <c r="H107" s="313" t="str">
        <v>Primary water treatment (micro)</v>
      </c>
      <c r="I107" s="501" t="str">
        <v>Highway ZOAB</v>
      </c>
      <c r="J107" t="str">
        <v>Mixed waste collection (micro)</v>
      </c>
    </row>
    <row r="108" spans="1:10" ht="15" thickBot="1">
      <c r="A108" s="74" t="str">
        <v>Road runoff</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RoadRunoff</v>
      </c>
      <c r="D108" s="95" t="str">
        <f>IFERROR(IF(VLOOKUP(A108,'Compartments_Kawecki&amp;Nowack19'!A:C,1,FALSE)=A108, "Kawecki","what?"),"Added/changed")</f>
        <v>Added/changed</v>
      </c>
      <c r="F108" s="17"/>
      <c r="G108" s="496" t="str">
        <v>On-site sewage facility (macro)</v>
      </c>
      <c r="H108" s="313" t="str">
        <v>Stormwater (macro)</v>
      </c>
      <c r="I108" s="501" t="str">
        <v>Highway ZOAB non cleaned</v>
      </c>
      <c r="J108" t="str">
        <v>On-the-go consumption (transport)</v>
      </c>
    </row>
    <row r="109" spans="1:10" ht="15" thickBot="1">
      <c r="A109" s="74" t="str">
        <v>Rural roads</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RuralRoads</v>
      </c>
      <c r="D109" s="95" t="str">
        <f>IFERROR(IF(VLOOKUP(A109,'Compartments_Kawecki&amp;Nowack19'!A:C,1,FALSE)=A109, "Kawecki","what?"),"Added/changed")</f>
        <v>Added/changed</v>
      </c>
      <c r="F109" s="17"/>
      <c r="G109" s="496" t="str">
        <v>On-site sewage facility (micro)</v>
      </c>
      <c r="H109" s="313" t="str">
        <v>Stormwater (micro)</v>
      </c>
      <c r="I109" s="501" t="str">
        <v>Road cleaning</v>
      </c>
      <c r="J109" t="str">
        <v>Litter in natural environments</v>
      </c>
    </row>
    <row r="110" spans="1:10" ht="15" thickBot="1">
      <c r="A110" s="74" t="str">
        <v>On-site sewage facility (macro)</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OSSFMacro</v>
      </c>
      <c r="D110" s="95" t="str">
        <f>IFERROR(IF(VLOOKUP(A110,'Compartments_Kawecki&amp;Nowack19'!A:C,1,FALSE)=A110, "Kawecki","what?"),"Added/changed")</f>
        <v>Kawecki</v>
      </c>
      <c r="F110" s="17"/>
      <c r="G110" s="496" t="str">
        <v>Litter on road sides</v>
      </c>
      <c r="H110" s="313" t="str">
        <v>Highway</v>
      </c>
      <c r="I110" s="501" t="str">
        <v>Road runoff</v>
      </c>
      <c r="J110" t="str">
        <v>Indoor floors (micro)</v>
      </c>
    </row>
    <row r="111" spans="1:10" ht="15" thickBot="1">
      <c r="A111" s="74" t="str">
        <v>On-site sewage facility (micro)</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OSSFMicro</v>
      </c>
      <c r="D111" s="95" t="str">
        <f>IFERROR(IF(VLOOKUP(A111,'Compartments_Kawecki&amp;Nowack19'!A:C,1,FALSE)=A111, "Kawecki","what?"),"Added/changed")</f>
        <v>Kawecki</v>
      </c>
      <c r="F111" s="17"/>
      <c r="G111" s="496" t="str">
        <v>Combined sewer overflow (micro)</v>
      </c>
      <c r="H111" s="313" t="str">
        <v>Rural roads</v>
      </c>
      <c r="I111" s="501" t="str">
        <v>Rural roads</v>
      </c>
      <c r="J111" t="str">
        <v>Litter in residential environments</v>
      </c>
    </row>
    <row r="112" spans="1:10" ht="15" thickBot="1">
      <c r="A112" s="74" t="str">
        <v>Litter on road sides</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RoadSideLitter</v>
      </c>
      <c r="D112" s="95" t="str">
        <f>IFERROR(IF(VLOOKUP(A112,'Compartments_Kawecki&amp;Nowack19'!A:C,1,FALSE)=A112, "Kawecki","what?"),"Added/changed")</f>
        <v>Kawecki</v>
      </c>
      <c r="F112" s="17"/>
      <c r="G112" s="496" t="str">
        <v>Urban roads</v>
      </c>
      <c r="H112" s="313" t="str">
        <v>Urban roads</v>
      </c>
      <c r="I112" s="501" t="str">
        <v>On-site sewage facility (macro)</v>
      </c>
      <c r="J112" t="str">
        <v>Medical textiles</v>
      </c>
    </row>
    <row r="113" spans="1:10" ht="15" thickBot="1">
      <c r="A113" s="74" t="str">
        <v>Combined sewer overflow (micro)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CSOMicro</v>
      </c>
      <c r="D113" s="95" t="str">
        <f>IFERROR(IF(VLOOKUP(A113,'Compartments_Kawecki&amp;Nowack19'!A:C,1,FALSE)=A113, "Kawecki","what?"),"Added/changed")</f>
        <v>Kawecki</v>
      </c>
      <c r="F113" s="17"/>
      <c r="G113" s="496" t="str">
        <v>Offshore oil &amp; gas applications</v>
      </c>
      <c r="H113" s="313" t="str">
        <v>Medical textiles</v>
      </c>
      <c r="I113" s="501" t="str">
        <v>On-site sewage facility (micro)</v>
      </c>
      <c r="J113" t="str">
        <v>Mobility textiles</v>
      </c>
    </row>
    <row r="114" spans="1:10" ht="15" thickBot="1">
      <c r="A114" s="74" t="str">
        <v>Urban roads</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UrbanRoads</v>
      </c>
      <c r="D114" s="95" t="str">
        <f>IFERROR(IF(VLOOKUP(A114,'Compartments_Kawecki&amp;Nowack19'!A:C,1,FALSE)=A114, "Kawecki","what?"),"Added/changed")</f>
        <v>Added/changed</v>
      </c>
      <c r="F114" s="17"/>
      <c r="G114" s="496" t="str">
        <v>Textile coating</v>
      </c>
      <c r="H114" s="313" t="str">
        <v>Seed coating</v>
      </c>
      <c r="I114" s="501" t="str">
        <v>Litter on road sides</v>
      </c>
      <c r="J114" t="str">
        <v>Textile coating (discarded)</v>
      </c>
    </row>
    <row r="115" spans="1:10" ht="15" thickBot="1">
      <c r="A115" s="74" t="str">
        <v>Offshore oil &amp; gas applications</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OilGasApplications</v>
      </c>
      <c r="D115" s="95" t="str">
        <f>IFERROR(IF(VLOOKUP(A115,'Compartments_Kawecki&amp;Nowack19'!A:C,1,FALSE)=A115, "Kawecki","what?"),"Added/changed")</f>
        <v>Added/changed</v>
      </c>
      <c r="F115" s="17"/>
      <c r="G115" s="496" t="str">
        <v>Textile recycling</v>
      </c>
      <c r="H115" s="313" t="str">
        <v>Sludge (macro)</v>
      </c>
      <c r="I115" s="501" t="str">
        <v>Combined sewer overflow (micro)</v>
      </c>
      <c r="J115" t="str">
        <v>Wet wipes</v>
      </c>
    </row>
    <row r="116" spans="1:10" ht="15" thickBot="1">
      <c r="A116" s="74" t="str">
        <v>Textile coating</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TextileCoating</v>
      </c>
      <c r="D116" s="95" t="str">
        <f>IFERROR(IF(VLOOKUP(A116,'Compartments_Kawecki&amp;Nowack19'!A:C,1,FALSE)=A116, "Kawecki","what?"),"Added/changed")</f>
        <v>Added/changed</v>
      </c>
      <c r="F116" s="17"/>
      <c r="G116" s="496" t="str">
        <v>Pellet losses transport land</v>
      </c>
      <c r="H116" s="313" t="str">
        <v>Sludge (micro)</v>
      </c>
      <c r="I116" s="501" t="str">
        <v>Urban roads</v>
      </c>
      <c r="J116" t="str">
        <v>Detergents and maintenance products</v>
      </c>
    </row>
    <row r="117" spans="1:10" ht="15" thickBot="1">
      <c r="A117" s="74" t="str">
        <v>Textile recycling</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TextileRecycling</v>
      </c>
      <c r="D117" s="95" t="str">
        <f>IFERROR(IF(VLOOKUP(A117,'Compartments_Kawecki&amp;Nowack19'!A:C,1,FALSE)=A117, "Kawecki","what?"),"Added/changed")</f>
        <v>Added/changed</v>
      </c>
      <c r="F117" s="17"/>
      <c r="G117" s="496" t="str">
        <v>Pellet losses industrial plants</v>
      </c>
      <c r="H117" s="313" t="str">
        <v>Road side soil (macro)</v>
      </c>
      <c r="I117" s="501" t="str">
        <v>Offshore oil &amp; gas applications</v>
      </c>
      <c r="J117" t="str">
        <v>Infill material sports fields (in use)</v>
      </c>
    </row>
    <row r="118" spans="1:10" ht="15" thickBot="1">
      <c r="A118" s="74" t="str">
        <v>Pellet losses transport land</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PelletTransportLossesL</v>
      </c>
      <c r="D118" s="95" t="str">
        <f>IFERROR(IF(VLOOKUP(A118,'Compartments_Kawecki&amp;Nowack19'!A:C,1,FALSE)=A118, "Kawecki","what?"),"Added/changed")</f>
        <v>Added/changed</v>
      </c>
      <c r="F118" s="17"/>
      <c r="G118" s="496" t="str">
        <v>Paint</v>
      </c>
      <c r="H118" s="313" t="str">
        <v>Road runoff</v>
      </c>
      <c r="I118" s="501" t="str">
        <v>Textile coating</v>
      </c>
      <c r="J118" t="str">
        <v>Infill material sports fields (discarded)</v>
      </c>
    </row>
    <row r="119" spans="1:10" ht="15" thickBot="1">
      <c r="A119" s="74" t="str">
        <v>Pellet losses industrial plants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PelletLossIndustrial</v>
      </c>
      <c r="D119" s="95" t="str">
        <f>IFERROR(IF(VLOOKUP(A119,'Compartments_Kawecki&amp;Nowack19'!A:C,1,FALSE)=A119, "Kawecki","what?"),"Added/changed")</f>
        <v>Added/changed</v>
      </c>
      <c r="F119" s="17"/>
      <c r="G119" s="496" t="str">
        <v>Ship paint (prof)</v>
      </c>
      <c r="H119" s="313" t="str">
        <v>Mobility textiles</v>
      </c>
      <c r="I119" s="501" t="str">
        <v>Textile recycling</v>
      </c>
      <c r="J119" t="str">
        <v>Food additives</v>
      </c>
    </row>
    <row r="120" spans="1:10" ht="15" thickBot="1">
      <c r="A120" s="74" t="str">
        <v>Ship paint (prof)</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ShipProf</v>
      </c>
      <c r="D120" s="95" t="str">
        <f>IFERROR(IF(VLOOKUP(A120,'Compartments_Kawecki&amp;Nowack19'!A:C,1,FALSE)=A120, "Kawecki","what?"),"Added/changed")</f>
        <v>Added/changed</v>
      </c>
      <c r="F120" s="17"/>
      <c r="G120" s="496" t="str">
        <v>Ship paint (prof) (in use)</v>
      </c>
      <c r="H120" s="313" t="str">
        <v>Other technical textiles</v>
      </c>
      <c r="I120" s="501" t="str">
        <v>Pellet losses transport land</v>
      </c>
      <c r="J120" t="str">
        <v>Invitro diagnostic devices</v>
      </c>
    </row>
    <row r="121" spans="1:10" ht="15" thickBot="1">
      <c r="A121" s="74" t="str">
        <v>Ship paint (prof) (in use)</v>
      </c>
      <c r="B121" s="335" t="str">
        <f>IFERROR(VLOOKUP(A121,'Compartments_Kawecki&amp;Nowack19'!A:C,2,FALSE), IFERROR(VLOOKUP(A121,Compartments_Added!A:C,2,FALSE), "Not found"))</f>
        <v>Stock</v>
      </c>
      <c r="C121" s="335" t="str">
        <f>IFERROR(VLOOKUP(A121,'Compartments_Kawecki&amp;Nowack19'!A:C,3,FALSE), IFERROR(VLOOKUP(A121,Compartments_Added!A:C,3,FALSE), "Not found"))</f>
        <v>ShipProfIU</v>
      </c>
      <c r="D121" s="95" t="str">
        <f>IFERROR(IF(VLOOKUP(A121,'Compartments_Kawecki&amp;Nowack19'!A:C,1,FALSE)=A121, "Kawecki","what?"),"Added/changed")</f>
        <v>Added/changed</v>
      </c>
      <c r="F121" s="17"/>
      <c r="G121" s="496" t="str">
        <v>Ship paint (recr)</v>
      </c>
      <c r="H121" s="313" t="str">
        <v>Technical home textiles</v>
      </c>
      <c r="I121" s="501" t="str">
        <v>Pellet losses industrial plants</v>
      </c>
      <c r="J121" t="str">
        <v>Medicine diffusion limitation (slow release)</v>
      </c>
    </row>
    <row r="122" spans="1:10" ht="15" thickBot="1">
      <c r="A122" s="74" t="str">
        <v>Ship paint (recr)</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ShipDiy</v>
      </c>
      <c r="D122" s="95" t="str">
        <f>IFERROR(IF(VLOOKUP(A122,'Compartments_Kawecki&amp;Nowack19'!A:C,1,FALSE)=A122, "Kawecki","what?"),"Added/changed")</f>
        <v>Added/changed</v>
      </c>
      <c r="F122" s="17"/>
      <c r="G122" s="496" t="str">
        <v>Ship paint (recr) (in use)</v>
      </c>
      <c r="H122" s="313" t="str">
        <v>Textile coating (discarded)</v>
      </c>
      <c r="I122" s="501" t="str">
        <v>Ship paint (prof)</v>
      </c>
      <c r="J122" t="str">
        <v>PCCP</v>
      </c>
    </row>
    <row r="123" spans="1:10" ht="15" thickBot="1">
      <c r="A123" s="74" t="str">
        <v>Ship paint (recr) (in use)</v>
      </c>
      <c r="B123" s="335" t="str">
        <f>IFERROR(VLOOKUP(A123,'Compartments_Kawecki&amp;Nowack19'!A:C,2,FALSE), IFERROR(VLOOKUP(A123,Compartments_Added!A:C,2,FALSE), "Not found"))</f>
        <v>Stock</v>
      </c>
      <c r="C123" s="335" t="str">
        <f>IFERROR(VLOOKUP(A123,'Compartments_Kawecki&amp;Nowack19'!A:C,3,FALSE), IFERROR(VLOOKUP(A123,Compartments_Added!A:C,3,FALSE), "Not found"))</f>
        <v>ShipDiyIU</v>
      </c>
      <c r="D123" s="95" t="str">
        <f>IFERROR(IF(VLOOKUP(A123,'Compartments_Kawecki&amp;Nowack19'!A:C,1,FALSE)=A123, "Kawecki","what?"),"Added/changed")</f>
        <v>Added/changed</v>
      </c>
      <c r="F123" s="17"/>
      <c r="G123" s="496" t="str">
        <v>Ship paint (prof) (discarded)</v>
      </c>
      <c r="H123" s="313" t="str">
        <v>Textile coating (in use)</v>
      </c>
      <c r="I123" s="501" t="str">
        <v>Ship paint (prof) (in use)</v>
      </c>
      <c r="J123" t="str">
        <v>Technical home textiles</v>
      </c>
    </row>
    <row r="124" spans="1:10" ht="15" thickBot="1">
      <c r="A124" s="74" t="str">
        <v>Ship paint (prof) (discarded)</v>
      </c>
      <c r="B124" s="335" t="str">
        <f>IFERROR(VLOOKUP(A124,'Compartments_Kawecki&amp;Nowack19'!A:C,2,FALSE), IFERROR(VLOOKUP(A124,Compartments_Added!A:C,2,FALSE), "Not found"))</f>
        <v>Stock</v>
      </c>
      <c r="C124" s="335" t="str">
        <f>IFERROR(VLOOKUP(A124,'Compartments_Kawecki&amp;Nowack19'!A:C,3,FALSE), IFERROR(VLOOKUP(A124,Compartments_Added!A:C,3,FALSE), "Not found"))</f>
        <v>ShipProfDis</v>
      </c>
      <c r="D124" s="95" t="str">
        <f>IFERROR(IF(VLOOKUP(A124,'Compartments_Kawecki&amp;Nowack19'!A:C,1,FALSE)=A124, "Kawecki","what?"),"Added/changed")</f>
        <v>Added/changed</v>
      </c>
      <c r="F124" s="17"/>
      <c r="G124" s="496" t="str">
        <v>Ship paint (recr) (discarded)</v>
      </c>
      <c r="H124" s="313" t="str">
        <v>Wastewater (macro)</v>
      </c>
      <c r="I124" s="501" t="str">
        <v>Ship paint (recr)</v>
      </c>
      <c r="J124" t="str">
        <v>Technical home textiles (in use)</v>
      </c>
    </row>
    <row r="125" spans="1:10" ht="15" thickBot="1">
      <c r="A125" s="74" t="str">
        <v>Ship paint (recr) (discarded)</v>
      </c>
      <c r="B125" s="335" t="str">
        <f>IFERROR(VLOOKUP(A125,'Compartments_Kawecki&amp;Nowack19'!A:C,2,FALSE), IFERROR(VLOOKUP(A125,Compartments_Added!A:C,2,FALSE), "Not found"))</f>
        <v>Stock</v>
      </c>
      <c r="C125" s="335" t="str">
        <f>IFERROR(VLOOKUP(A125,'Compartments_Kawecki&amp;Nowack19'!A:C,3,FALSE), IFERROR(VLOOKUP(A125,Compartments_Added!A:C,3,FALSE), "Not found"))</f>
        <v>ShipDiyDis</v>
      </c>
      <c r="D125" s="95" t="str">
        <f>IFERROR(IF(VLOOKUP(A125,'Compartments_Kawecki&amp;Nowack19'!A:C,1,FALSE)=A125, "Kawecki","what?"),"Added/changed")</f>
        <v>Added/changed</v>
      </c>
      <c r="F125" s="17"/>
      <c r="G125" s="496" t="str">
        <v>Concrete paint (prof)</v>
      </c>
      <c r="H125" s="313" t="str">
        <v>Pellet conversion</v>
      </c>
      <c r="I125" s="501" t="str">
        <v>Ship paint (recr) (in use)</v>
      </c>
      <c r="J125" t="str">
        <v>Technical textiles</v>
      </c>
    </row>
    <row r="126" spans="1:10" ht="15" thickBot="1">
      <c r="A126" s="74" t="str">
        <v>Concrete paint (prof)</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ConcreteProf</v>
      </c>
      <c r="D126" s="95" t="str">
        <f>IFERROR(IF(VLOOKUP(A126,'Compartments_Kawecki&amp;Nowack19'!A:C,1,FALSE)=A126, "Kawecki","what?"),"Added/changed")</f>
        <v>Added/changed</v>
      </c>
      <c r="F126" s="17"/>
      <c r="G126" s="496" t="str">
        <v>Concrete paint (prof) outdoor</v>
      </c>
      <c r="H126" s="313" t="str">
        <v>Textile coating</v>
      </c>
      <c r="I126" s="501" t="str">
        <v>Ship paint (prof) (discarded)</v>
      </c>
      <c r="J126" t="str">
        <v>Textile coating (in use)</v>
      </c>
    </row>
    <row r="127" spans="1:10" ht="15" thickBot="1">
      <c r="A127" s="74" t="str">
        <v>Concrete paint (prof) outdoor</v>
      </c>
      <c r="B127" s="335" t="str">
        <f>IFERROR(VLOOKUP(A127,'Compartments_Kawecki&amp;Nowack19'!A:C,2,FALSE), IFERROR(VLOOKUP(A127,Compartments_Added!A:C,2,FALSE), "Not found"))</f>
        <v>Flow</v>
      </c>
      <c r="C127" s="335" t="str">
        <f>IFERROR(VLOOKUP(A127,'Compartments_Kawecki&amp;Nowack19'!A:C,3,FALSE), IFERROR(VLOOKUP(A127,Compartments_Added!A:C,3,FALSE), "Not found"))</f>
        <v>ConcreteProfOut</v>
      </c>
      <c r="D127" s="95" t="str">
        <f>IFERROR(IF(VLOOKUP(A127,'Compartments_Kawecki&amp;Nowack19'!A:C,1,FALSE)=A127, "Kawecki","what?"),"Added/changed")</f>
        <v>Added/changed</v>
      </c>
      <c r="F127" s="17"/>
      <c r="G127" s="496" t="str">
        <v>Concrete paint (prof) outdoor (in use)</v>
      </c>
      <c r="H127" s="313" t="str">
        <v>Pellet losses transport land</v>
      </c>
      <c r="I127" s="501" t="str">
        <v>Ship paint (recr) (discarded)</v>
      </c>
      <c r="J127" t="str">
        <v>Wastewater (macro)</v>
      </c>
    </row>
    <row r="128" spans="1:10" ht="15" thickBot="1">
      <c r="A128" s="74" t="str">
        <v>Concrete paint (prof) outdoor (in use)</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ConcreteProfOutIU</v>
      </c>
      <c r="D128" s="95" t="str">
        <f>IFERROR(IF(VLOOKUP(A128,'Compartments_Kawecki&amp;Nowack19'!A:C,1,FALSE)=A128, "Kawecki","what?"),"Added/changed")</f>
        <v>Added/changed</v>
      </c>
      <c r="F128" s="17"/>
      <c r="G128" s="496" t="str">
        <v>Concrete paint (prof) indoor</v>
      </c>
      <c r="H128" s="313" t="str">
        <v>Sea water (micro)</v>
      </c>
      <c r="I128" s="501" t="str">
        <v>Concrete paint (prof)</v>
      </c>
      <c r="J128" t="str">
        <v>On-the-go consumption</v>
      </c>
    </row>
    <row r="129" spans="1:10" ht="15" thickBot="1">
      <c r="A129" s="74" t="str">
        <v>Concrete paint (prof) indoor</v>
      </c>
      <c r="B129" s="335" t="str">
        <f>IFERROR(VLOOKUP(A129,'Compartments_Kawecki&amp;Nowack19'!A:C,2,FALSE), IFERROR(VLOOKUP(A129,Compartments_Added!A:C,2,FALSE), "Not found"))</f>
        <v>Flow</v>
      </c>
      <c r="C129" s="335" t="str">
        <f>IFERROR(VLOOKUP(A129,'Compartments_Kawecki&amp;Nowack19'!A:C,3,FALSE), IFERROR(VLOOKUP(A129,Compartments_Added!A:C,3,FALSE), "Not found"))</f>
        <v>ConcreteProfIn</v>
      </c>
      <c r="D129" s="95" t="str">
        <f>IFERROR(IF(VLOOKUP(A129,'Compartments_Kawecki&amp;Nowack19'!A:C,1,FALSE)=A129, "Kawecki","what?"),"Added/changed")</f>
        <v>Added/changed</v>
      </c>
      <c r="F129" s="17"/>
      <c r="G129" s="496" t="str">
        <v>Concrete paint (prof) indoor (in use)</v>
      </c>
      <c r="H129" s="313" t="str">
        <v>Pellet losses industrial plants</v>
      </c>
      <c r="I129" s="501" t="str">
        <v>Concrete paint (prof) outdoor</v>
      </c>
      <c r="J129" t="str">
        <v>Highway DAB non cleaned</v>
      </c>
    </row>
    <row r="130" spans="1:10" ht="15" thickBot="1">
      <c r="A130" s="74" t="str">
        <v>Concrete paint (prof) indoor (in use)</v>
      </c>
      <c r="B130" s="335" t="str">
        <f>IFERROR(VLOOKUP(A130,'Compartments_Kawecki&amp;Nowack19'!A:C,2,FALSE), IFERROR(VLOOKUP(A130,Compartments_Added!A:C,2,FALSE), "Not found"))</f>
        <v>Stock</v>
      </c>
      <c r="C130" s="335" t="str">
        <f>IFERROR(VLOOKUP(A130,'Compartments_Kawecki&amp;Nowack19'!A:C,3,FALSE), IFERROR(VLOOKUP(A130,Compartments_Added!A:C,3,FALSE), "Not found"))</f>
        <v>ConcreteProfInIU</v>
      </c>
      <c r="D130" s="95" t="str">
        <f>IFERROR(IF(VLOOKUP(A130,'Compartments_Kawecki&amp;Nowack19'!A:C,1,FALSE)=A130, "Kawecki","what?"),"Added/changed")</f>
        <v>Added/changed</v>
      </c>
      <c r="F130" s="17"/>
      <c r="G130" s="496" t="str">
        <v>Concrete paint (prof) outdoor (discarded)</v>
      </c>
      <c r="H130" s="313" t="str">
        <v>Concrete paint (prof)</v>
      </c>
      <c r="I130" s="501" t="str">
        <v>Concrete paint (prof) outdoor (in use)</v>
      </c>
      <c r="J130" t="str">
        <v>Highway ZOAB</v>
      </c>
    </row>
    <row r="131" spans="1:10" ht="15" thickBot="1">
      <c r="A131" s="74" t="str">
        <v>Concrete paint (prof) outdoor (discarded)</v>
      </c>
      <c r="B131" s="335" t="str">
        <f>IFERROR(VLOOKUP(A131,'Compartments_Kawecki&amp;Nowack19'!A:C,2,FALSE), IFERROR(VLOOKUP(A131,Compartments_Added!A:C,2,FALSE), "Not found"))</f>
        <v>Stock</v>
      </c>
      <c r="C131" s="335" t="str">
        <f>IFERROR(VLOOKUP(A131,'Compartments_Kawecki&amp;Nowack19'!A:C,3,FALSE), IFERROR(VLOOKUP(A131,Compartments_Added!A:C,3,FALSE), "Not found"))</f>
        <v>ConcreteProfOutDis</v>
      </c>
      <c r="D131" s="95" t="str">
        <f>IFERROR(IF(VLOOKUP(A131,'Compartments_Kawecki&amp;Nowack19'!A:C,1,FALSE)=A131, "Kawecki","what?"),"Added/changed")</f>
        <v>Added/changed</v>
      </c>
      <c r="F131" s="17"/>
      <c r="G131" s="496" t="str">
        <v>Concrete paint (prof) indoor (discarded)</v>
      </c>
      <c r="H131" s="313" t="str">
        <v>Lacquer (prof)</v>
      </c>
      <c r="I131" s="501" t="str">
        <v>Concrete paint (prof) indoor</v>
      </c>
      <c r="J131" t="str">
        <v>Highway ZOAB non cleaned</v>
      </c>
    </row>
    <row r="132" spans="1:10" ht="15" thickBot="1">
      <c r="A132" s="74" t="str">
        <v>Concrete paint (prof) indoor (discarded)</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ConcreteProfInDis</v>
      </c>
      <c r="D132" s="95" t="str">
        <f>IFERROR(IF(VLOOKUP(A132,'Compartments_Kawecki&amp;Nowack19'!A:C,1,FALSE)=A132, "Kawecki","what?"),"Added/changed")</f>
        <v>Added/changed</v>
      </c>
      <c r="F132" s="17"/>
      <c r="G132" s="496" t="str">
        <v>Lacquer (prof)</v>
      </c>
      <c r="H132" s="313" t="str">
        <v>Wood stain (prof)</v>
      </c>
      <c r="I132" s="501" t="str">
        <v>Concrete paint (prof) indoor (in use)</v>
      </c>
      <c r="J132" t="str">
        <v>Road cleaning</v>
      </c>
    </row>
    <row r="133" spans="1:10" ht="15" thickBot="1">
      <c r="A133" s="74" t="str">
        <v>Lacquer (prof)</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LacquerProf</v>
      </c>
      <c r="D133" s="95" t="str">
        <f>IFERROR(IF(VLOOKUP(A133,'Compartments_Kawecki&amp;Nowack19'!A:C,1,FALSE)=A133, "Kawecki","what?"),"Added/changed")</f>
        <v>Added/changed</v>
      </c>
      <c r="F133" s="17"/>
      <c r="G133" s="496" t="str">
        <v>Lacquer (prof) outdoor</v>
      </c>
      <c r="H133" s="313" t="str">
        <v>Wall paint (prof)</v>
      </c>
      <c r="I133" s="501" t="str">
        <v>Concrete paint (prof) outdoor (discarded)</v>
      </c>
      <c r="J133" t="str">
        <v>Road runoff</v>
      </c>
    </row>
    <row r="134" spans="1:10" ht="15" thickBot="1">
      <c r="A134" s="74" t="str">
        <v>Lacquer (prof) outdoor</v>
      </c>
      <c r="B134" s="335" t="str">
        <f>IFERROR(VLOOKUP(A134,'Compartments_Kawecki&amp;Nowack19'!A:C,2,FALSE), IFERROR(VLOOKUP(A134,Compartments_Added!A:C,2,FALSE), "Not found"))</f>
        <v>Flow</v>
      </c>
      <c r="C134" s="335" t="str">
        <f>IFERROR(VLOOKUP(A134,'Compartments_Kawecki&amp;Nowack19'!A:C,3,FALSE), IFERROR(VLOOKUP(A134,Compartments_Added!A:C,3,FALSE), "Not found"))</f>
        <v>LacquerProfOut</v>
      </c>
      <c r="D134" s="95" t="str">
        <f>IFERROR(IF(VLOOKUP(A134,'Compartments_Kawecki&amp;Nowack19'!A:C,1,FALSE)=A134, "Kawecki","what?"),"Added/changed")</f>
        <v>Added/changed</v>
      </c>
      <c r="F134" s="17"/>
      <c r="G134" s="496" t="str">
        <v>Lacquer (prof) outdoor (in use)</v>
      </c>
      <c r="H134" s="313" t="str">
        <v>Plaster (prof)</v>
      </c>
      <c r="I134" s="501" t="str">
        <v>Concrete paint (prof) indoor (discarded)</v>
      </c>
      <c r="J134" t="str">
        <v>Rural roads</v>
      </c>
    </row>
    <row r="135" spans="1:10" ht="15" thickBot="1">
      <c r="A135" s="74" t="str">
        <v>Lacquer (prof) outdoor (in use)</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LacquerProfOutIU</v>
      </c>
      <c r="D135" s="95" t="str">
        <f>IFERROR(IF(VLOOKUP(A135,'Compartments_Kawecki&amp;Nowack19'!A:C,1,FALSE)=A135, "Kawecki","what?"),"Added/changed")</f>
        <v>Added/changed</v>
      </c>
      <c r="F135" s="17"/>
      <c r="G135" s="496" t="str">
        <v>Lacquer (prof) indoor</v>
      </c>
      <c r="H135" s="313" t="str">
        <v>Other paint uses (prof)</v>
      </c>
      <c r="I135" s="501" t="str">
        <v>Lacquer (prof)</v>
      </c>
      <c r="J135" t="str">
        <v>Tyre wear</v>
      </c>
    </row>
    <row r="136" spans="1:10" ht="15" thickBot="1">
      <c r="A136" s="74" t="str">
        <v>Lacquer (prof) indoor</v>
      </c>
      <c r="B136" s="335" t="str">
        <f>IFERROR(VLOOKUP(A136,'Compartments_Kawecki&amp;Nowack19'!A:C,2,FALSE), IFERROR(VLOOKUP(A136,Compartments_Added!A:C,2,FALSE), "Not found"))</f>
        <v>Flow</v>
      </c>
      <c r="C136" s="335" t="str">
        <f>IFERROR(VLOOKUP(A136,'Compartments_Kawecki&amp;Nowack19'!A:C,3,FALSE), IFERROR(VLOOKUP(A136,Compartments_Added!A:C,3,FALSE), "Not found"))</f>
        <v>LacquerProfIn</v>
      </c>
      <c r="D136" s="95" t="str">
        <f>IFERROR(IF(VLOOKUP(A136,'Compartments_Kawecki&amp;Nowack19'!A:C,1,FALSE)=A136, "Kawecki","what?"),"Added/changed")</f>
        <v>Added/changed</v>
      </c>
      <c r="F136" s="17"/>
      <c r="G136" s="496" t="str">
        <v>Lacquer (prof) indoor (in use)</v>
      </c>
      <c r="H136" s="313" t="str">
        <v>Paints used in pre-made wooden products</v>
      </c>
      <c r="I136" s="501" t="str">
        <v>Lacquer (prof) outdoor</v>
      </c>
      <c r="J136" t="str">
        <v>On-site sewage facility (macro)</v>
      </c>
    </row>
    <row r="137" spans="1:10" ht="15" thickBot="1">
      <c r="A137" s="74" t="str">
        <v>Lacquer (prof) indoor (in use)</v>
      </c>
      <c r="B137" s="335" t="str">
        <f>IFERROR(VLOOKUP(A137,'Compartments_Kawecki&amp;Nowack19'!A:C,2,FALSE), IFERROR(VLOOKUP(A137,Compartments_Added!A:C,2,FALSE), "Not found"))</f>
        <v>Stock</v>
      </c>
      <c r="C137" s="335" t="str">
        <f>IFERROR(VLOOKUP(A137,'Compartments_Kawecki&amp;Nowack19'!A:C,3,FALSE), IFERROR(VLOOKUP(A137,Compartments_Added!A:C,3,FALSE), "Not found"))</f>
        <v>LacquerProfInIU</v>
      </c>
      <c r="D137" s="95" t="str">
        <f>IFERROR(IF(VLOOKUP(A137,'Compartments_Kawecki&amp;Nowack19'!A:C,1,FALSE)=A137, "Kawecki","what?"),"Added/changed")</f>
        <v>Added/changed</v>
      </c>
      <c r="F137" s="17"/>
      <c r="G137" s="496" t="str">
        <v>Lacquer (prof) outdoor (discarded)</v>
      </c>
      <c r="H137" s="313" t="str">
        <v>Lacquer (DIY)</v>
      </c>
      <c r="I137" s="501" t="str">
        <v>Lacquer (prof) outdoor (in use)</v>
      </c>
      <c r="J137" t="str">
        <v>On-site sewage facility (micro)</v>
      </c>
    </row>
    <row r="138" spans="1:10" ht="15" thickBot="1">
      <c r="A138" s="74" t="str">
        <v>Lacquer (prof) outdoor (discarded)</v>
      </c>
      <c r="B138" s="335" t="str">
        <f>IFERROR(VLOOKUP(A138,'Compartments_Kawecki&amp;Nowack19'!A:C,2,FALSE), IFERROR(VLOOKUP(A138,Compartments_Added!A:C,2,FALSE), "Not found"))</f>
        <v>Stock</v>
      </c>
      <c r="C138" s="335" t="str">
        <f>IFERROR(VLOOKUP(A138,'Compartments_Kawecki&amp;Nowack19'!A:C,3,FALSE), IFERROR(VLOOKUP(A138,Compartments_Added!A:C,3,FALSE), "Not found"))</f>
        <v>LacquerProfOutDis</v>
      </c>
      <c r="D138" s="95" t="str">
        <f>IFERROR(IF(VLOOKUP(A138,'Compartments_Kawecki&amp;Nowack19'!A:C,1,FALSE)=A138, "Kawecki","what?"),"Added/changed")</f>
        <v>Added/changed</v>
      </c>
      <c r="F138" s="17"/>
      <c r="G138" s="496" t="str">
        <v>Lacquer (prof) indoor (discarded)</v>
      </c>
      <c r="H138" s="313" t="str">
        <v>Wood stain (DIY)</v>
      </c>
      <c r="I138" s="501" t="str">
        <v>Lacquer (prof) indoor</v>
      </c>
      <c r="J138" t="str">
        <v>Litter on road sides</v>
      </c>
    </row>
    <row r="139" spans="1:10" ht="15" thickBot="1">
      <c r="A139" s="74" t="str">
        <v>Lacquer (prof) indoor (discarded)</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LacquerProfInDis</v>
      </c>
      <c r="D139" s="95" t="str">
        <f>IFERROR(IF(VLOOKUP(A139,'Compartments_Kawecki&amp;Nowack19'!A:C,1,FALSE)=A139, "Kawecki","what?"),"Added/changed")</f>
        <v>Added/changed</v>
      </c>
      <c r="F139" s="17"/>
      <c r="G139" s="496" t="str">
        <v>Wood stain (prof)</v>
      </c>
      <c r="H139" s="313" t="str">
        <v>Wall paint (DIY)</v>
      </c>
      <c r="I139" s="501" t="str">
        <v>Lacquer (prof) indoor (in use)</v>
      </c>
      <c r="J139" t="str">
        <v>Combined sewer overflow (micro)</v>
      </c>
    </row>
    <row r="140" spans="1:10" ht="15" thickBot="1">
      <c r="A140" s="74" t="str">
        <v>Wood stain (prof)</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WoodProf</v>
      </c>
      <c r="D140" s="95" t="str">
        <f>IFERROR(IF(VLOOKUP(A140,'Compartments_Kawecki&amp;Nowack19'!A:C,1,FALSE)=A140, "Kawecki","what?"),"Added/changed")</f>
        <v>Added/changed</v>
      </c>
      <c r="F140" s="17"/>
      <c r="G140" s="496" t="str">
        <v>Wood stain (prof) outdoor</v>
      </c>
      <c r="H140" s="313" t="str">
        <v>Plaster (DIY)</v>
      </c>
      <c r="I140" s="501" t="str">
        <v>Lacquer (prof) outdoor (discarded)</v>
      </c>
      <c r="J140" t="str">
        <v>Urban roads</v>
      </c>
    </row>
    <row r="141" spans="1:10" ht="15" thickBot="1">
      <c r="A141" s="74" t="str">
        <v>Wood stain (prof) outdoor</v>
      </c>
      <c r="B141" s="335" t="str">
        <f>IFERROR(VLOOKUP(A141,'Compartments_Kawecki&amp;Nowack19'!A:C,2,FALSE), IFERROR(VLOOKUP(A141,Compartments_Added!A:C,2,FALSE), "Not found"))</f>
        <v>Flow</v>
      </c>
      <c r="C141" s="335" t="str">
        <f>IFERROR(VLOOKUP(A141,'Compartments_Kawecki&amp;Nowack19'!A:C,3,FALSE), IFERROR(VLOOKUP(A141,Compartments_Added!A:C,3,FALSE), "Not found"))</f>
        <v>WoodProfOut</v>
      </c>
      <c r="D141" s="95" t="str">
        <f>IFERROR(IF(VLOOKUP(A141,'Compartments_Kawecki&amp;Nowack19'!A:C,1,FALSE)=A141, "Kawecki","what?"),"Added/changed")</f>
        <v>Added/changed</v>
      </c>
      <c r="F141" s="17"/>
      <c r="G141" s="496" t="str">
        <v>Wood stain (prof) outdoor (in use)</v>
      </c>
      <c r="H141" s="313" t="str">
        <v>Other paint uses (DIY)</v>
      </c>
      <c r="I141" s="501" t="str">
        <v>Lacquer (prof) indoor (discarded)</v>
      </c>
      <c r="J141" t="str">
        <v>Offshore oil &amp; gas applications</v>
      </c>
    </row>
    <row r="142" spans="1:10" ht="15" thickBot="1">
      <c r="A142" s="74" t="str">
        <v>Wood stain (prof) outdoor (in use)</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WoodStainProfOutIU</v>
      </c>
      <c r="D142" s="95" t="str">
        <f>IFERROR(IF(VLOOKUP(A142,'Compartments_Kawecki&amp;Nowack19'!A:C,1,FALSE)=A142, "Kawecki","what?"),"Added/changed")</f>
        <v>Added/changed</v>
      </c>
      <c r="F142" s="17"/>
      <c r="G142" s="496" t="str">
        <v>Wood stain (prof) indoor</v>
      </c>
      <c r="H142" s="313" t="str">
        <v>Ship paint (prof)</v>
      </c>
      <c r="I142" s="501" t="str">
        <v>Wood stain (prof)</v>
      </c>
      <c r="J142" t="str">
        <v>Textile coating</v>
      </c>
    </row>
    <row r="143" spans="1:10" ht="15" thickBot="1">
      <c r="A143" s="74" t="str">
        <v>Wood stain (prof) indoor</v>
      </c>
      <c r="B143" s="335" t="str">
        <f>IFERROR(VLOOKUP(A143,'Compartments_Kawecki&amp;Nowack19'!A:C,2,FALSE), IFERROR(VLOOKUP(A143,Compartments_Added!A:C,2,FALSE), "Not found"))</f>
        <v>Flow</v>
      </c>
      <c r="C143" s="335" t="str">
        <f>IFERROR(VLOOKUP(A143,'Compartments_Kawecki&amp;Nowack19'!A:C,3,FALSE), IFERROR(VLOOKUP(A143,Compartments_Added!A:C,3,FALSE), "Not found"))</f>
        <v>WoodProfIn</v>
      </c>
      <c r="D143" s="95" t="str">
        <f>IFERROR(IF(VLOOKUP(A143,'Compartments_Kawecki&amp;Nowack19'!A:C,1,FALSE)=A143, "Kawecki","what?"),"Added/changed")</f>
        <v>Added/changed</v>
      </c>
      <c r="F143" s="17"/>
      <c r="G143" s="496" t="str">
        <v>Wood stain (prof) indoor (in use)</v>
      </c>
      <c r="H143" s="313" t="str">
        <v>Ship paint (recr)</v>
      </c>
      <c r="I143" s="501" t="str">
        <v>Wood stain (prof) outdoor</v>
      </c>
      <c r="J143" t="str">
        <v>Textile recycling</v>
      </c>
    </row>
    <row r="144" spans="1:10" ht="15" thickBot="1">
      <c r="A144" s="74" t="str">
        <v>Wood stain (prof) indoor (in use)</v>
      </c>
      <c r="B144" s="335" t="str">
        <f>IFERROR(VLOOKUP(A144,'Compartments_Kawecki&amp;Nowack19'!A:C,2,FALSE), IFERROR(VLOOKUP(A144,Compartments_Added!A:C,2,FALSE), "Not found"))</f>
        <v>Stock</v>
      </c>
      <c r="C144" s="335" t="str">
        <f>IFERROR(VLOOKUP(A144,'Compartments_Kawecki&amp;Nowack19'!A:C,3,FALSE), IFERROR(VLOOKUP(A144,Compartments_Added!A:C,3,FALSE), "Not found"))</f>
        <v>WoodStainProfInIU</v>
      </c>
      <c r="D144" s="95" t="str">
        <f>IFERROR(IF(VLOOKUP(A144,'Compartments_Kawecki&amp;Nowack19'!A:C,1,FALSE)=A144, "Kawecki","what?"),"Added/changed")</f>
        <v>Added/changed</v>
      </c>
      <c r="F144" s="17"/>
      <c r="G144" s="496" t="str">
        <v>Wood stain (prof) outdoor (discarded)</v>
      </c>
      <c r="H144" s="313" t="str">
        <v>Ship paint (prof) (in use)</v>
      </c>
      <c r="I144" s="501" t="str">
        <v>Wood stain (prof) outdoor (in use)</v>
      </c>
      <c r="J144" t="str">
        <v>Pellet losses transport land</v>
      </c>
    </row>
    <row r="145" spans="1:10" ht="15" thickBot="1">
      <c r="A145" s="74" t="str">
        <v>Wood stain (prof) outdoor (discarded)</v>
      </c>
      <c r="B145" s="335" t="str">
        <f>IFERROR(VLOOKUP(A145,'Compartments_Kawecki&amp;Nowack19'!A:C,2,FALSE), IFERROR(VLOOKUP(A145,Compartments_Added!A:C,2,FALSE), "Not found"))</f>
        <v>Stock</v>
      </c>
      <c r="C145" s="335" t="str">
        <f>IFERROR(VLOOKUP(A145,'Compartments_Kawecki&amp;Nowack19'!A:C,3,FALSE), IFERROR(VLOOKUP(A145,Compartments_Added!A:C,3,FALSE), "Not found"))</f>
        <v>WoodStainProfOutDis</v>
      </c>
      <c r="D145" s="95" t="str">
        <f>IFERROR(IF(VLOOKUP(A145,'Compartments_Kawecki&amp;Nowack19'!A:C,1,FALSE)=A145, "Kawecki","what?"),"Added/changed")</f>
        <v>Added/changed</v>
      </c>
      <c r="F145" s="17"/>
      <c r="G145" s="496" t="str">
        <v>Wood stain (prof) indoor (discarded)</v>
      </c>
      <c r="H145" s="313" t="str">
        <v>Ship paint (prof) (discarded)</v>
      </c>
      <c r="I145" s="501" t="str">
        <v>Wood stain (prof) indoor</v>
      </c>
      <c r="J145" t="str">
        <v>Pellet losses industrial plants</v>
      </c>
    </row>
    <row r="146" spans="1:10" ht="15" thickBot="1">
      <c r="A146" s="74" t="str">
        <v>Wood stain (prof) indoor (discarded)</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WoodStainProfInDis</v>
      </c>
      <c r="D146" s="95" t="str">
        <f>IFERROR(IF(VLOOKUP(A146,'Compartments_Kawecki&amp;Nowack19'!A:C,1,FALSE)=A146, "Kawecki","what?"),"Added/changed")</f>
        <v>Added/changed</v>
      </c>
      <c r="F146" s="17"/>
      <c r="G146" s="496" t="str">
        <v>Wall paint (prof)</v>
      </c>
      <c r="H146" s="313" t="str">
        <v>Ship paint (recr) (in use)</v>
      </c>
      <c r="I146" s="501" t="str">
        <v>Wood stain (prof) indoor (in use)</v>
      </c>
      <c r="J146" t="str">
        <v>Paint</v>
      </c>
    </row>
    <row r="147" spans="1:10" ht="15" thickBot="1">
      <c r="A147" s="74" t="str">
        <v>Wall paint (prof)</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WallProf</v>
      </c>
      <c r="D147" s="95" t="str">
        <f>IFERROR(IF(VLOOKUP(A147,'Compartments_Kawecki&amp;Nowack19'!A:C,1,FALSE)=A147, "Kawecki","what?"),"Added/changed")</f>
        <v>Added/changed</v>
      </c>
      <c r="F147" s="17"/>
      <c r="G147" s="496" t="str">
        <v>Wall paint (prof) outdoor</v>
      </c>
      <c r="H147" s="313" t="str">
        <v>Ship paint (recr) (discarded)</v>
      </c>
      <c r="I147" s="501" t="str">
        <v>Wood stain (prof) outdoor (discarded)</v>
      </c>
      <c r="J147" t="str">
        <v>Ship paint (prof)</v>
      </c>
    </row>
    <row r="148" spans="1:10" ht="15" thickBot="1">
      <c r="A148" s="74" t="str">
        <v>Wall paint (prof) outdoor</v>
      </c>
      <c r="B148" s="335" t="str">
        <f>IFERROR(VLOOKUP(A148,'Compartments_Kawecki&amp;Nowack19'!A:C,2,FALSE), IFERROR(VLOOKUP(A148,Compartments_Added!A:C,2,FALSE), "Not found"))</f>
        <v>Flow</v>
      </c>
      <c r="C148" s="335" t="str">
        <f>IFERROR(VLOOKUP(A148,'Compartments_Kawecki&amp;Nowack19'!A:C,3,FALSE), IFERROR(VLOOKUP(A148,Compartments_Added!A:C,3,FALSE), "Not found"))</f>
        <v>WallProfOut</v>
      </c>
      <c r="D148" s="95" t="str">
        <f>IFERROR(IF(VLOOKUP(A148,'Compartments_Kawecki&amp;Nowack19'!A:C,1,FALSE)=A148, "Kawecki","what?"),"Added/changed")</f>
        <v>Added/changed</v>
      </c>
      <c r="F148" s="17"/>
      <c r="G148" s="496" t="str">
        <v>Wall paint (prof) outdoor (in use)</v>
      </c>
      <c r="H148" s="313" t="str">
        <v>Concrete paint (prof) outdoor</v>
      </c>
      <c r="I148" s="501" t="str">
        <v>Wood stain (prof) indoor (discarded)</v>
      </c>
      <c r="J148" t="str">
        <v>Ship paint (prof) (in use)</v>
      </c>
    </row>
    <row r="149" spans="1:10" ht="15" thickBot="1">
      <c r="A149" s="74" t="str">
        <v>Wall paint (prof) outdoor (in use)</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WallPaintProfOutIU</v>
      </c>
      <c r="D149" s="95" t="str">
        <f>IFERROR(IF(VLOOKUP(A149,'Compartments_Kawecki&amp;Nowack19'!A:C,1,FALSE)=A149, "Kawecki","what?"),"Added/changed")</f>
        <v>Added/changed</v>
      </c>
      <c r="F149" s="17"/>
      <c r="G149" s="496" t="str">
        <v>Wall paint (prof) indoor</v>
      </c>
      <c r="H149" s="313" t="str">
        <v>Concrete paint (prof) indoor</v>
      </c>
      <c r="I149" s="501" t="str">
        <v>Wall paint (prof)</v>
      </c>
      <c r="J149" t="str">
        <v>Ship paint (recr)</v>
      </c>
    </row>
    <row r="150" spans="1:10" ht="15" thickBot="1">
      <c r="A150" s="74" t="str">
        <v>Wall paint (prof) indoor</v>
      </c>
      <c r="B150" s="335" t="str">
        <f>IFERROR(VLOOKUP(A150,'Compartments_Kawecki&amp;Nowack19'!A:C,2,FALSE), IFERROR(VLOOKUP(A150,Compartments_Added!A:C,2,FALSE), "Not found"))</f>
        <v>Flow</v>
      </c>
      <c r="C150" s="335" t="str">
        <f>IFERROR(VLOOKUP(A150,'Compartments_Kawecki&amp;Nowack19'!A:C,3,FALSE), IFERROR(VLOOKUP(A150,Compartments_Added!A:C,3,FALSE), "Not found"))</f>
        <v>WallProfIn</v>
      </c>
      <c r="D150" s="95" t="str">
        <f>IFERROR(IF(VLOOKUP(A150,'Compartments_Kawecki&amp;Nowack19'!A:C,1,FALSE)=A150, "Kawecki","what?"),"Added/changed")</f>
        <v>Added/changed</v>
      </c>
      <c r="F150" s="17"/>
      <c r="G150" s="496" t="str">
        <v>Wall paint (prof) indoor (in use)</v>
      </c>
      <c r="H150" s="313" t="str">
        <v>Concrete paint (prof) outdoor (in use)</v>
      </c>
      <c r="I150" s="501" t="str">
        <v>Wall paint (prof) outdoor</v>
      </c>
      <c r="J150" t="str">
        <v>Ship paint (recr) (in use)</v>
      </c>
    </row>
    <row r="151" spans="1:10" ht="15" thickBot="1">
      <c r="A151" s="74" t="str">
        <v>Wall paint (prof) indoor (in use)</v>
      </c>
      <c r="B151" s="335" t="str">
        <f>IFERROR(VLOOKUP(A151,'Compartments_Kawecki&amp;Nowack19'!A:C,2,FALSE), IFERROR(VLOOKUP(A151,Compartments_Added!A:C,2,FALSE), "Not found"))</f>
        <v>Stock</v>
      </c>
      <c r="C151" s="335" t="str">
        <f>IFERROR(VLOOKUP(A151,'Compartments_Kawecki&amp;Nowack19'!A:C,3,FALSE), IFERROR(VLOOKUP(A151,Compartments_Added!A:C,3,FALSE), "Not found"))</f>
        <v>WallPaintProfInIU</v>
      </c>
      <c r="D151" s="95" t="str">
        <f>IFERROR(IF(VLOOKUP(A151,'Compartments_Kawecki&amp;Nowack19'!A:C,1,FALSE)=A151, "Kawecki","what?"),"Added/changed")</f>
        <v>Added/changed</v>
      </c>
      <c r="F151" s="17"/>
      <c r="G151" s="496" t="str">
        <v>Wall paint (prof) outdoor (discarded)</v>
      </c>
      <c r="H151" s="313" t="str">
        <v>Concrete paint (prof) outdoor (discarded)</v>
      </c>
      <c r="I151" s="501" t="str">
        <v>Wall paint (prof) outdoor (in use)</v>
      </c>
      <c r="J151" t="str">
        <v>Ship paint (prof) (discarded)</v>
      </c>
    </row>
    <row r="152" spans="1:10" ht="15" thickBot="1">
      <c r="A152" s="74" t="str">
        <v>Wall paint (prof) outdoor (discarded)</v>
      </c>
      <c r="B152" s="335" t="str">
        <f>IFERROR(VLOOKUP(A152,'Compartments_Kawecki&amp;Nowack19'!A:C,2,FALSE), IFERROR(VLOOKUP(A152,Compartments_Added!A:C,2,FALSE), "Not found"))</f>
        <v>Stock</v>
      </c>
      <c r="C152" s="335" t="str">
        <f>IFERROR(VLOOKUP(A152,'Compartments_Kawecki&amp;Nowack19'!A:C,3,FALSE), IFERROR(VLOOKUP(A152,Compartments_Added!A:C,3,FALSE), "Not found"))</f>
        <v>WallPaintProfOutDis</v>
      </c>
      <c r="D152" s="95" t="str">
        <f>IFERROR(IF(VLOOKUP(A152,'Compartments_Kawecki&amp;Nowack19'!A:C,1,FALSE)=A152, "Kawecki","what?"),"Added/changed")</f>
        <v>Added/changed</v>
      </c>
      <c r="F152" s="17"/>
      <c r="G152" s="496" t="str">
        <v>Wall paint (prof) indoor (discarded)</v>
      </c>
      <c r="H152" s="313" t="str">
        <v>Concrete paint (prof) indoor (in use)</v>
      </c>
      <c r="I152" s="501" t="str">
        <v>Wall paint (prof) indoor</v>
      </c>
      <c r="J152" t="str">
        <v>Ship paint (recr) (discarded)</v>
      </c>
    </row>
    <row r="153" spans="1:10" ht="15" thickBot="1">
      <c r="A153" s="74" t="str">
        <v>Wall paint (prof) indoor (discarded)</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WallPaintProfInDis</v>
      </c>
      <c r="D153" s="95" t="str">
        <f>IFERROR(IF(VLOOKUP(A153,'Compartments_Kawecki&amp;Nowack19'!A:C,1,FALSE)=A153, "Kawecki","what?"),"Added/changed")</f>
        <v>Added/changed</v>
      </c>
      <c r="F153" s="17"/>
      <c r="G153" s="496" t="str">
        <v>Plaster (prof)</v>
      </c>
      <c r="H153" s="313" t="str">
        <v>Concrete paint (prof) indoor (discarded)</v>
      </c>
      <c r="I153" s="501" t="str">
        <v>Wall paint (prof) indoor (in use)</v>
      </c>
      <c r="J153" t="str">
        <v>Concrete paint (prof)</v>
      </c>
    </row>
    <row r="154" spans="1:10" ht="15" thickBot="1">
      <c r="A154" s="74" t="str">
        <v>Plaster (prof)</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PlasterProf</v>
      </c>
      <c r="D154" s="95" t="str">
        <f>IFERROR(IF(VLOOKUP(A154,'Compartments_Kawecki&amp;Nowack19'!A:C,1,FALSE)=A154, "Kawecki","what?"),"Added/changed")</f>
        <v>Added/changed</v>
      </c>
      <c r="F154" s="17"/>
      <c r="G154" s="496" t="str">
        <v>Plaster (prof) outdoor</v>
      </c>
      <c r="H154" s="313" t="str">
        <v>Lacquer (prof) outdoor</v>
      </c>
      <c r="I154" s="501" t="str">
        <v>Wall paint (prof) outdoor (discarded)</v>
      </c>
      <c r="J154" t="str">
        <v>Concrete paint (prof) outdoor</v>
      </c>
    </row>
    <row r="155" spans="1:10" ht="15" thickBot="1">
      <c r="A155" s="74" t="str">
        <v>Plaster (prof) outdoor</v>
      </c>
      <c r="B155" s="335" t="str">
        <f>IFERROR(VLOOKUP(A155,'Compartments_Kawecki&amp;Nowack19'!A:C,2,FALSE), IFERROR(VLOOKUP(A155,Compartments_Added!A:C,2,FALSE), "Not found"))</f>
        <v>Flow</v>
      </c>
      <c r="C155" s="335" t="str">
        <f>IFERROR(VLOOKUP(A155,'Compartments_Kawecki&amp;Nowack19'!A:C,3,FALSE), IFERROR(VLOOKUP(A155,Compartments_Added!A:C,3,FALSE), "Not found"))</f>
        <v>PlasterProfOut</v>
      </c>
      <c r="D155" s="95" t="str">
        <f>IFERROR(IF(VLOOKUP(A155,'Compartments_Kawecki&amp;Nowack19'!A:C,1,FALSE)=A155, "Kawecki","what?"),"Added/changed")</f>
        <v>Added/changed</v>
      </c>
      <c r="F155" s="17"/>
      <c r="G155" s="496" t="str">
        <v>Plaster (prof) outdoor (in use)</v>
      </c>
      <c r="H155" s="313" t="str">
        <v>Lacquer (prof) indoor</v>
      </c>
      <c r="I155" s="501" t="str">
        <v>Wall paint (prof) indoor (discarded)</v>
      </c>
      <c r="J155" t="str">
        <v>Concrete paint (prof) outdoor (in use)</v>
      </c>
    </row>
    <row r="156" spans="1:10" ht="15" thickBot="1">
      <c r="A156" s="74" t="str">
        <v>Plaster (prof) outdoor (in use)</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PlasterProfOutIU</v>
      </c>
      <c r="D156" s="95" t="str">
        <f>IFERROR(IF(VLOOKUP(A156,'Compartments_Kawecki&amp;Nowack19'!A:C,1,FALSE)=A156, "Kawecki","what?"),"Added/changed")</f>
        <v>Added/changed</v>
      </c>
      <c r="F156" s="17"/>
      <c r="G156" s="496" t="str">
        <v>Plaster (prof) indoor</v>
      </c>
      <c r="H156" s="313" t="str">
        <v>Lacquer (prof) outdoor (in use)</v>
      </c>
      <c r="I156" s="501" t="str">
        <v>Plaster (prof)</v>
      </c>
      <c r="J156" t="str">
        <v>Concrete paint (prof) indoor</v>
      </c>
    </row>
    <row r="157" spans="1:10" ht="15" thickBot="1">
      <c r="A157" s="74" t="str">
        <v>Plaster (prof) indoor</v>
      </c>
      <c r="B157" s="335" t="str">
        <f>IFERROR(VLOOKUP(A157,'Compartments_Kawecki&amp;Nowack19'!A:C,2,FALSE), IFERROR(VLOOKUP(A157,Compartments_Added!A:C,2,FALSE), "Not found"))</f>
        <v>Flow</v>
      </c>
      <c r="C157" s="335" t="str">
        <f>IFERROR(VLOOKUP(A157,'Compartments_Kawecki&amp;Nowack19'!A:C,3,FALSE), IFERROR(VLOOKUP(A157,Compartments_Added!A:C,3,FALSE), "Not found"))</f>
        <v>PlasterProfIn</v>
      </c>
      <c r="D157" s="95" t="str">
        <f>IFERROR(IF(VLOOKUP(A157,'Compartments_Kawecki&amp;Nowack19'!A:C,1,FALSE)=A157, "Kawecki","what?"),"Added/changed")</f>
        <v>Added/changed</v>
      </c>
      <c r="F157" s="17"/>
      <c r="G157" s="496" t="str">
        <v>Plaster (prof) indoor (in use)</v>
      </c>
      <c r="H157" s="313" t="str">
        <v>Lacquer (prof) outdoor (discarded)</v>
      </c>
      <c r="I157" s="501" t="str">
        <v>Plaster (prof) outdoor</v>
      </c>
      <c r="J157" t="str">
        <v>Concrete paint (prof) indoor (in use)</v>
      </c>
    </row>
    <row r="158" spans="1:10" ht="15" thickBot="1">
      <c r="A158" s="74" t="str">
        <v>Plaster (prof) indoor (in use)</v>
      </c>
      <c r="B158" s="335" t="str">
        <f>IFERROR(VLOOKUP(A158,'Compartments_Kawecki&amp;Nowack19'!A:C,2,FALSE), IFERROR(VLOOKUP(A158,Compartments_Added!A:C,2,FALSE), "Not found"))</f>
        <v>Stock</v>
      </c>
      <c r="C158" s="335" t="str">
        <f>IFERROR(VLOOKUP(A158,'Compartments_Kawecki&amp;Nowack19'!A:C,3,FALSE), IFERROR(VLOOKUP(A158,Compartments_Added!A:C,3,FALSE), "Not found"))</f>
        <v>PlasterProfInIU</v>
      </c>
      <c r="D158" s="95" t="str">
        <f>IFERROR(IF(VLOOKUP(A158,'Compartments_Kawecki&amp;Nowack19'!A:C,1,FALSE)=A158, "Kawecki","what?"),"Added/changed")</f>
        <v>Added/changed</v>
      </c>
      <c r="F158" s="17"/>
      <c r="G158" s="496" t="str">
        <v>Plaster (prof) outdoor (discarded)</v>
      </c>
      <c r="H158" s="313" t="str">
        <v>Lacquer (prof) indoor (in use)</v>
      </c>
      <c r="I158" s="501" t="str">
        <v>Plaster (prof) outdoor (in use)</v>
      </c>
      <c r="J158" t="str">
        <v>Concrete paint (prof) outdoor (discarded)</v>
      </c>
    </row>
    <row r="159" spans="1:10" ht="15" thickBot="1">
      <c r="A159" s="74" t="str">
        <v>Plaster (prof) outdoor (discarded)</v>
      </c>
      <c r="B159" s="335" t="str">
        <f>IFERROR(VLOOKUP(A159,'Compartments_Kawecki&amp;Nowack19'!A:C,2,FALSE), IFERROR(VLOOKUP(A159,Compartments_Added!A:C,2,FALSE), "Not found"))</f>
        <v>Stock</v>
      </c>
      <c r="C159" s="335" t="str">
        <f>IFERROR(VLOOKUP(A159,'Compartments_Kawecki&amp;Nowack19'!A:C,3,FALSE), IFERROR(VLOOKUP(A159,Compartments_Added!A:C,3,FALSE), "Not found"))</f>
        <v>PlasterProfOutDis</v>
      </c>
      <c r="D159" s="95" t="str">
        <f>IFERROR(IF(VLOOKUP(A159,'Compartments_Kawecki&amp;Nowack19'!A:C,1,FALSE)=A159, "Kawecki","what?"),"Added/changed")</f>
        <v>Added/changed</v>
      </c>
      <c r="F159" s="17"/>
      <c r="G159" s="496" t="str">
        <v>Plaster (prof) indoor (discarded)</v>
      </c>
      <c r="H159" s="313" t="str">
        <v>Lacquer (prof) indoor (discarded)</v>
      </c>
      <c r="I159" s="501" t="str">
        <v>Plaster (prof) indoor</v>
      </c>
      <c r="J159" t="str">
        <v>Concrete paint (prof) indoor (discarded)</v>
      </c>
    </row>
    <row r="160" spans="1:10" ht="15" thickBot="1">
      <c r="A160" s="74" t="str">
        <v>Plaster (prof) indoor (discarded)</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PlasterProfInDis</v>
      </c>
      <c r="D160" s="95" t="str">
        <f>IFERROR(IF(VLOOKUP(A160,'Compartments_Kawecki&amp;Nowack19'!A:C,1,FALSE)=A160, "Kawecki","what?"),"Added/changed")</f>
        <v>Added/changed</v>
      </c>
      <c r="F160" s="17"/>
      <c r="G160" s="496" t="str">
        <v>Other paint uses (prof)</v>
      </c>
      <c r="H160" s="313" t="str">
        <v>Wood stain (prof) outdoor</v>
      </c>
      <c r="I160" s="501" t="str">
        <v>Plaster (prof) indoor (in use)</v>
      </c>
      <c r="J160" t="str">
        <v>Lacquer (prof)</v>
      </c>
    </row>
    <row r="161" spans="1:10" ht="15" thickBot="1">
      <c r="A161" s="74" t="str">
        <v>Other paint uses (prof)</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OtherPaintUses</v>
      </c>
      <c r="D161" s="95" t="str">
        <f>IFERROR(IF(VLOOKUP(A161,'Compartments_Kawecki&amp;Nowack19'!A:C,1,FALSE)=A161, "Kawecki","what?"),"Added/changed")</f>
        <v>Added/changed</v>
      </c>
      <c r="F161" s="17"/>
      <c r="G161" s="496" t="str">
        <v>Other paint uses (prof) outdoor</v>
      </c>
      <c r="H161" s="313" t="str">
        <v>Wood stain (prof) indoor</v>
      </c>
      <c r="I161" s="501" t="str">
        <v>Plaster (prof) outdoor (discarded)</v>
      </c>
      <c r="J161" t="str">
        <v>Lacquer (prof) outdoor</v>
      </c>
    </row>
    <row r="162" spans="1:10" ht="15" thickBot="1">
      <c r="A162" s="74" t="str">
        <v>Other paint uses (prof) outdoor</v>
      </c>
      <c r="B162" s="335" t="str">
        <f>IFERROR(VLOOKUP(A162,'Compartments_Kawecki&amp;Nowack19'!A:C,2,FALSE), IFERROR(VLOOKUP(A162,Compartments_Added!A:C,2,FALSE), "Not found"))</f>
        <v>Flow</v>
      </c>
      <c r="C162" s="335" t="str">
        <f>IFERROR(VLOOKUP(A162,'Compartments_Kawecki&amp;Nowack19'!A:C,3,FALSE), IFERROR(VLOOKUP(A162,Compartments_Added!A:C,3,FALSE), "Not found"))</f>
        <v>OtherPaintUsesProfOut</v>
      </c>
      <c r="D162" s="95" t="str">
        <f>IFERROR(IF(VLOOKUP(A162,'Compartments_Kawecki&amp;Nowack19'!A:C,1,FALSE)=A162, "Kawecki","what?"),"Added/changed")</f>
        <v>Added/changed</v>
      </c>
      <c r="F162" s="17"/>
      <c r="G162" s="496" t="str">
        <v>Other paint uses (prof) outdoor (in use)</v>
      </c>
      <c r="H162" s="313" t="str">
        <v>Wood stain (prof) outdoor (in use)</v>
      </c>
      <c r="I162" s="501" t="str">
        <v>Plaster (prof) indoor (discarded)</v>
      </c>
      <c r="J162" t="str">
        <v>Lacquer (prof) outdoor (in use)</v>
      </c>
    </row>
    <row r="163" spans="1:10" ht="15" thickBot="1">
      <c r="A163" s="74" t="str">
        <v>Other paint uses (prof) outdoor (in use)</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OtherPaintUsesProfOutIU</v>
      </c>
      <c r="D163" s="95" t="str">
        <f>IFERROR(IF(VLOOKUP(A163,'Compartments_Kawecki&amp;Nowack19'!A:C,1,FALSE)=A163, "Kawecki","what?"),"Added/changed")</f>
        <v>Added/changed</v>
      </c>
      <c r="F163" s="17"/>
      <c r="G163" s="496" t="str">
        <v>Other paint uses (prof) indoor</v>
      </c>
      <c r="H163" s="313" t="str">
        <v>Wood stain (prof) outdoor (discarded)</v>
      </c>
      <c r="I163" s="501" t="str">
        <v>Other paint uses (prof)</v>
      </c>
      <c r="J163" t="str">
        <v>Lacquer (prof) indoor</v>
      </c>
    </row>
    <row r="164" spans="1:10" ht="15" thickBot="1">
      <c r="A164" s="74" t="str">
        <v>Other paint uses (prof) indoor</v>
      </c>
      <c r="B164" s="335" t="str">
        <f>IFERROR(VLOOKUP(A164,'Compartments_Kawecki&amp;Nowack19'!A:C,2,FALSE), IFERROR(VLOOKUP(A164,Compartments_Added!A:C,2,FALSE), "Not found"))</f>
        <v>Flow</v>
      </c>
      <c r="C164" s="335" t="str">
        <f>IFERROR(VLOOKUP(A164,'Compartments_Kawecki&amp;Nowack19'!A:C,3,FALSE), IFERROR(VLOOKUP(A164,Compartments_Added!A:C,3,FALSE), "Not found"))</f>
        <v>OtherPaintUsesProfIn</v>
      </c>
      <c r="D164" s="95" t="str">
        <f>IFERROR(IF(VLOOKUP(A164,'Compartments_Kawecki&amp;Nowack19'!A:C,1,FALSE)=A164, "Kawecki","what?"),"Added/changed")</f>
        <v>Added/changed</v>
      </c>
      <c r="F164" s="17"/>
      <c r="G164" s="496" t="str">
        <v>Other paint uses (prof) indoor (in use)</v>
      </c>
      <c r="H164" s="313" t="str">
        <v>Wood stain (prof) indoor (in use)</v>
      </c>
      <c r="I164" s="501" t="str">
        <v>Other paint uses (prof) outdoor</v>
      </c>
      <c r="J164" t="str">
        <v>Lacquer (prof) indoor (in use)</v>
      </c>
    </row>
    <row r="165" spans="1:10" ht="15" thickBot="1">
      <c r="A165" s="74" t="str">
        <v>Other paint uses (prof) indoor (in use)</v>
      </c>
      <c r="B165" s="335" t="str">
        <f>IFERROR(VLOOKUP(A165,'Compartments_Kawecki&amp;Nowack19'!A:C,2,FALSE), IFERROR(VLOOKUP(A165,Compartments_Added!A:C,2,FALSE), "Not found"))</f>
        <v>Stock</v>
      </c>
      <c r="C165" s="335" t="str">
        <f>IFERROR(VLOOKUP(A165,'Compartments_Kawecki&amp;Nowack19'!A:C,3,FALSE), IFERROR(VLOOKUP(A165,Compartments_Added!A:C,3,FALSE), "Not found"))</f>
        <v>OtherPaintUsesProfInIU</v>
      </c>
      <c r="D165" s="95" t="str">
        <f>IFERROR(IF(VLOOKUP(A165,'Compartments_Kawecki&amp;Nowack19'!A:C,1,FALSE)=A165, "Kawecki","what?"),"Added/changed")</f>
        <v>Added/changed</v>
      </c>
      <c r="F165" s="17"/>
      <c r="G165" s="496" t="str">
        <v>Other paint uses (prof) outdoor (discarded)</v>
      </c>
      <c r="H165" s="313" t="str">
        <v>Wood stain (prof) indoor (discarded)</v>
      </c>
      <c r="I165" s="501" t="str">
        <v>Other paint uses (prof) outdoor (in use)</v>
      </c>
      <c r="J165" t="str">
        <v>Lacquer (prof) outdoor (discarded)</v>
      </c>
    </row>
    <row r="166" spans="1:10" ht="15" thickBot="1">
      <c r="A166" s="74" t="str">
        <v>Other paint uses (prof) outdoor (discarded)</v>
      </c>
      <c r="B166" s="335" t="str">
        <f>IFERROR(VLOOKUP(A166,'Compartments_Kawecki&amp;Nowack19'!A:C,2,FALSE), IFERROR(VLOOKUP(A166,Compartments_Added!A:C,2,FALSE), "Not found"))</f>
        <v>Stock</v>
      </c>
      <c r="C166" s="335" t="str">
        <f>IFERROR(VLOOKUP(A166,'Compartments_Kawecki&amp;Nowack19'!A:C,3,FALSE), IFERROR(VLOOKUP(A166,Compartments_Added!A:C,3,FALSE), "Not found"))</f>
        <v>OtherPaintUsesProfOutDis</v>
      </c>
      <c r="D166" s="95" t="str">
        <f>IFERROR(IF(VLOOKUP(A166,'Compartments_Kawecki&amp;Nowack19'!A:C,1,FALSE)=A166, "Kawecki","what?"),"Added/changed")</f>
        <v>Added/changed</v>
      </c>
      <c r="F166" s="17"/>
      <c r="G166" s="496" t="str">
        <v>Other paint uses (prof) indoor (discarded)</v>
      </c>
      <c r="H166" s="313" t="str">
        <v>Wall paint (prof) outdoor</v>
      </c>
      <c r="I166" s="501" t="str">
        <v>Other paint uses (prof) indoor</v>
      </c>
      <c r="J166" t="str">
        <v>Lacquer (prof) indoor (discarded)</v>
      </c>
    </row>
    <row r="167" spans="1:10" ht="15" thickBot="1">
      <c r="A167" s="74" t="str">
        <v>Other paint uses (prof) indoor (discarded)</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OtherPaintUsesProfInDis</v>
      </c>
      <c r="D167" s="95" t="str">
        <f>IFERROR(IF(VLOOKUP(A167,'Compartments_Kawecki&amp;Nowack19'!A:C,1,FALSE)=A167, "Kawecki","what?"),"Added/changed")</f>
        <v>Added/changed</v>
      </c>
      <c r="F167" s="17"/>
      <c r="G167" s="496" t="str">
        <v>Paints used in pre-made wooden products</v>
      </c>
      <c r="H167" s="313" t="str">
        <v>Wall paint (prof) indoor</v>
      </c>
      <c r="I167" s="501" t="str">
        <v>Other paint uses (prof) indoor (in use)</v>
      </c>
      <c r="J167" t="str">
        <v>Wood stain (prof)</v>
      </c>
    </row>
    <row r="168" spans="1:10" ht="15" thickBot="1">
      <c r="A168" s="74" t="str">
        <v>Paints used in pre-made wooden products</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PaintsPreMadeWood</v>
      </c>
      <c r="D168" s="95" t="str">
        <f>IFERROR(IF(VLOOKUP(A168,'Compartments_Kawecki&amp;Nowack19'!A:C,1,FALSE)=A168, "Kawecki","what?"),"Added/changed")</f>
        <v>Added/changed</v>
      </c>
      <c r="F168" s="17"/>
      <c r="G168" s="496" t="str">
        <v>Paints used in pre-made wooden products outdoor</v>
      </c>
      <c r="H168" s="313" t="str">
        <v>Wall paint (prof) outdoor (in use)</v>
      </c>
      <c r="I168" s="501" t="str">
        <v>Other paint uses (prof) outdoor (discarded)</v>
      </c>
      <c r="J168" t="str">
        <v>Wood stain (prof) outdoor</v>
      </c>
    </row>
    <row r="169" spans="1:10" ht="15" thickBot="1">
      <c r="A169" s="74" t="str">
        <v>Paints used in pre-made wooden products outdoor</v>
      </c>
      <c r="B169" s="335" t="str">
        <f>IFERROR(VLOOKUP(A169,'Compartments_Kawecki&amp;Nowack19'!A:C,2,FALSE), IFERROR(VLOOKUP(A169,Compartments_Added!A:C,2,FALSE), "Not found"))</f>
        <v>Flow</v>
      </c>
      <c r="C169" s="335" t="str">
        <f>IFERROR(VLOOKUP(A169,'Compartments_Kawecki&amp;Nowack19'!A:C,3,FALSE), IFERROR(VLOOKUP(A169,Compartments_Added!A:C,3,FALSE), "Not found"))</f>
        <v>PaintsPreMadeWoodOut</v>
      </c>
      <c r="D169" s="95" t="str">
        <f>IFERROR(IF(VLOOKUP(A169,'Compartments_Kawecki&amp;Nowack19'!A:C,1,FALSE)=A169, "Kawecki","what?"),"Added/changed")</f>
        <v>Added/changed</v>
      </c>
      <c r="F169" s="17"/>
      <c r="G169" s="496" t="str">
        <v>Paints used in pre-made wooden products outdoor (in use)</v>
      </c>
      <c r="H169" s="313" t="str">
        <v>Wall paint (prof) outdoor (discarded)</v>
      </c>
      <c r="I169" s="501" t="str">
        <v>Other paint uses (prof) indoor (discarded)</v>
      </c>
      <c r="J169" t="str">
        <v>Wood stain (prof) outdoor (in use)</v>
      </c>
    </row>
    <row r="170" spans="1:10" ht="15" thickBot="1">
      <c r="A170" s="74" t="str">
        <v>Paints used in pre-made wooden products outdoor (in use)</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PaintsPreMadeWoodOutIU</v>
      </c>
      <c r="D170" s="95" t="str">
        <f>IFERROR(IF(VLOOKUP(A170,'Compartments_Kawecki&amp;Nowack19'!A:C,1,FALSE)=A170, "Kawecki","what?"),"Added/changed")</f>
        <v>Added/changed</v>
      </c>
      <c r="F170" s="17"/>
      <c r="G170" s="496" t="str">
        <v>Paints used in pre-made wooden products indoor</v>
      </c>
      <c r="H170" s="313" t="str">
        <v>Wall paint (prof) indoor (in use)</v>
      </c>
      <c r="I170" s="501" t="str">
        <v>Paints used in pre-made wooden products</v>
      </c>
      <c r="J170" t="str">
        <v>Wood stain (prof) indoor</v>
      </c>
    </row>
    <row r="171" spans="1:10" ht="15" thickBot="1">
      <c r="A171" s="74" t="str">
        <v>Paints used in pre-made wooden products indoor</v>
      </c>
      <c r="B171" s="335" t="str">
        <f>IFERROR(VLOOKUP(A171,'Compartments_Kawecki&amp;Nowack19'!A:C,2,FALSE), IFERROR(VLOOKUP(A171,Compartments_Added!A:C,2,FALSE), "Not found"))</f>
        <v>Flow</v>
      </c>
      <c r="C171" s="335" t="str">
        <f>IFERROR(VLOOKUP(A171,'Compartments_Kawecki&amp;Nowack19'!A:C,3,FALSE), IFERROR(VLOOKUP(A171,Compartments_Added!A:C,3,FALSE), "Not found"))</f>
        <v>PaintsPreMadeWoodIn</v>
      </c>
      <c r="D171" s="95" t="str">
        <f>IFERROR(IF(VLOOKUP(A171,'Compartments_Kawecki&amp;Nowack19'!A:C,1,FALSE)=A171, "Kawecki","what?"),"Added/changed")</f>
        <v>Added/changed</v>
      </c>
      <c r="F171" s="17"/>
      <c r="G171" s="496" t="str">
        <v>Paints used in pre-made wooden products indoor (in use)</v>
      </c>
      <c r="H171" s="313" t="str">
        <v>Wall paint (prof) indoor (discarded)</v>
      </c>
      <c r="I171" s="501" t="str">
        <v>Paints used in pre-made wooden products outdoor</v>
      </c>
      <c r="J171" t="str">
        <v>Wood stain (prof) indoor (in use)</v>
      </c>
    </row>
    <row r="172" spans="1:10" ht="15" thickBot="1">
      <c r="A172" s="74" t="str">
        <v>Paints used in pre-made wooden products indoor (in use)</v>
      </c>
      <c r="B172" s="335" t="str">
        <f>IFERROR(VLOOKUP(A172,'Compartments_Kawecki&amp;Nowack19'!A:C,2,FALSE), IFERROR(VLOOKUP(A172,Compartments_Added!A:C,2,FALSE), "Not found"))</f>
        <v>Stock</v>
      </c>
      <c r="C172" s="335" t="str">
        <f>IFERROR(VLOOKUP(A172,'Compartments_Kawecki&amp;Nowack19'!A:C,3,FALSE), IFERROR(VLOOKUP(A172,Compartments_Added!A:C,3,FALSE), "Not found"))</f>
        <v>PaintsPreMadeWoodInIU</v>
      </c>
      <c r="D172" s="95" t="str">
        <f>IFERROR(IF(VLOOKUP(A172,'Compartments_Kawecki&amp;Nowack19'!A:C,1,FALSE)=A172, "Kawecki","what?"),"Added/changed")</f>
        <v>Added/changed</v>
      </c>
      <c r="F172" s="17"/>
      <c r="G172" s="496" t="str">
        <v>Paints used in pre-made wooden products outdoor (discarded)</v>
      </c>
      <c r="H172" s="313" t="str">
        <v>Plaster (prof) outdoor</v>
      </c>
      <c r="I172" s="501" t="str">
        <v>Paints used in pre-made wooden products outdoor (in use)</v>
      </c>
      <c r="J172" t="str">
        <v>Wood stain (prof) outdoor (discarded)</v>
      </c>
    </row>
    <row r="173" spans="1:10" ht="15" thickBot="1">
      <c r="A173" s="74" t="str">
        <v>Paints used in pre-made wooden products outdoor (discarded)</v>
      </c>
      <c r="B173" s="335" t="str">
        <f>IFERROR(VLOOKUP(A173,'Compartments_Kawecki&amp;Nowack19'!A:C,2,FALSE), IFERROR(VLOOKUP(A173,Compartments_Added!A:C,2,FALSE), "Not found"))</f>
        <v>Stock</v>
      </c>
      <c r="C173" s="335" t="str">
        <f>IFERROR(VLOOKUP(A173,'Compartments_Kawecki&amp;Nowack19'!A:C,3,FALSE), IFERROR(VLOOKUP(A173,Compartments_Added!A:C,3,FALSE), "Not found"))</f>
        <v>PaintsPreMadeWoodOutDis</v>
      </c>
      <c r="D173" s="95" t="str">
        <f>IFERROR(IF(VLOOKUP(A173,'Compartments_Kawecki&amp;Nowack19'!A:C,1,FALSE)=A173, "Kawecki","what?"),"Added/changed")</f>
        <v>Added/changed</v>
      </c>
      <c r="F173" s="17"/>
      <c r="G173" s="496" t="str">
        <v>Paints used in pre-made wooden products indoor (discarded)</v>
      </c>
      <c r="H173" s="313" t="str">
        <v>Plaster (prof) indoor</v>
      </c>
      <c r="I173" s="501" t="str">
        <v>Paints used in pre-made wooden products indoor</v>
      </c>
      <c r="J173" t="str">
        <v>Wood stain (prof) indoor (discarded)</v>
      </c>
    </row>
    <row r="174" spans="1:10" ht="15" thickBot="1">
      <c r="A174" s="74" t="str">
        <v>Paints used in pre-made wooden products indoor (discarded)</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PaintsPreMadeWoodInDis</v>
      </c>
      <c r="D174" s="95" t="str">
        <f>IFERROR(IF(VLOOKUP(A174,'Compartments_Kawecki&amp;Nowack19'!A:C,1,FALSE)=A174, "Kawecki","what?"),"Added/changed")</f>
        <v>Added/changed</v>
      </c>
      <c r="F174" s="17"/>
      <c r="G174" s="496" t="str">
        <v>Lacquer (DIY)</v>
      </c>
      <c r="H174" s="313" t="str">
        <v>Plaster (prof) outdoor (in use)</v>
      </c>
      <c r="I174" s="501" t="str">
        <v>Paints used in pre-made wooden products indoor (in use)</v>
      </c>
      <c r="J174" t="str">
        <v>Wall paint (prof)</v>
      </c>
    </row>
    <row r="175" spans="1:10" ht="15" thickBot="1">
      <c r="A175" s="74" t="str">
        <v>Lacquer (DIY)</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LacquerDiy</v>
      </c>
      <c r="D175" s="95" t="str">
        <f>IFERROR(IF(VLOOKUP(A175,'Compartments_Kawecki&amp;Nowack19'!A:C,1,FALSE)=A175, "Kawecki","what?"),"Added/changed")</f>
        <v>Added/changed</v>
      </c>
      <c r="F175" s="17"/>
      <c r="G175" s="496" t="str">
        <v>Lacquer (DIY) outdoor</v>
      </c>
      <c r="H175" s="313" t="str">
        <v>Plaster (prof) outdoor (discarded)</v>
      </c>
      <c r="I175" s="501" t="str">
        <v>Paints used in pre-made wooden products outdoor (discarded)</v>
      </c>
      <c r="J175" t="str">
        <v>Wall paint (prof) outdoor</v>
      </c>
    </row>
    <row r="176" spans="1:10" ht="15" thickBot="1">
      <c r="A176" s="74" t="str">
        <v>Lacquer (DIY) outdoor</v>
      </c>
      <c r="B176" s="335" t="str">
        <f>IFERROR(VLOOKUP(A176,'Compartments_Kawecki&amp;Nowack19'!A:C,2,FALSE), IFERROR(VLOOKUP(A176,Compartments_Added!A:C,2,FALSE), "Not found"))</f>
        <v>Flow</v>
      </c>
      <c r="C176" s="335" t="str">
        <f>IFERROR(VLOOKUP(A176,'Compartments_Kawecki&amp;Nowack19'!A:C,3,FALSE), IFERROR(VLOOKUP(A176,Compartments_Added!A:C,3,FALSE), "Not found"))</f>
        <v>LacquerDiyOut</v>
      </c>
      <c r="D176" s="95" t="str">
        <f>IFERROR(IF(VLOOKUP(A176,'Compartments_Kawecki&amp;Nowack19'!A:C,1,FALSE)=A176, "Kawecki","what?"),"Added/changed")</f>
        <v>Added/changed</v>
      </c>
      <c r="F176" s="17"/>
      <c r="G176" s="496" t="str">
        <v>Lacquer (DIY) outdoor (in use)</v>
      </c>
      <c r="H176" s="313" t="str">
        <v>Plaster (prof) indoor (in use)</v>
      </c>
      <c r="I176" s="501" t="str">
        <v>Paints used in pre-made wooden products indoor (discarded)</v>
      </c>
      <c r="J176" t="str">
        <v>Wall paint (prof) outdoor (in use)</v>
      </c>
    </row>
    <row r="177" spans="1:10" ht="15" thickBot="1">
      <c r="A177" s="74" t="str">
        <v>Lacquer (DIY) outdoor (in use)</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LacquerDiyOutIU</v>
      </c>
      <c r="D177" s="95" t="str">
        <f>IFERROR(IF(VLOOKUP(A177,'Compartments_Kawecki&amp;Nowack19'!A:C,1,FALSE)=A177, "Kawecki","what?"),"Added/changed")</f>
        <v>Added/changed</v>
      </c>
      <c r="F177" s="17"/>
      <c r="G177" s="496" t="str">
        <v>Lacquer (DIY) indoor</v>
      </c>
      <c r="H177" s="313" t="str">
        <v>Plaster (prof) indoor (discarded)</v>
      </c>
      <c r="I177" s="501" t="str">
        <v>Lacquer (DIY)</v>
      </c>
      <c r="J177" t="str">
        <v>Wall paint (prof) indoor</v>
      </c>
    </row>
    <row r="178" spans="1:10" ht="15" thickBot="1">
      <c r="A178" s="74" t="str">
        <v>Lacquer (DIY) indoor</v>
      </c>
      <c r="B178" s="335" t="str">
        <f>IFERROR(VLOOKUP(A178,'Compartments_Kawecki&amp;Nowack19'!A:C,2,FALSE), IFERROR(VLOOKUP(A178,Compartments_Added!A:C,2,FALSE), "Not found"))</f>
        <v>Flow</v>
      </c>
      <c r="C178" s="335" t="str">
        <f>IFERROR(VLOOKUP(A178,'Compartments_Kawecki&amp;Nowack19'!A:C,3,FALSE), IFERROR(VLOOKUP(A178,Compartments_Added!A:C,3,FALSE), "Not found"))</f>
        <v>LacquerDiyIn</v>
      </c>
      <c r="D178" s="95" t="str">
        <f>IFERROR(IF(VLOOKUP(A178,'Compartments_Kawecki&amp;Nowack19'!A:C,1,FALSE)=A178, "Kawecki","what?"),"Added/changed")</f>
        <v>Added/changed</v>
      </c>
      <c r="F178" s="17"/>
      <c r="G178" s="496" t="str">
        <v>Lacquer (DIY) indoor (in use)</v>
      </c>
      <c r="H178" s="313" t="str">
        <v>Other paint uses (prof) outdoor</v>
      </c>
      <c r="I178" s="501" t="str">
        <v>Lacquer (DIY) outdoor</v>
      </c>
      <c r="J178" t="str">
        <v>Wall paint (prof) indoor (in use)</v>
      </c>
    </row>
    <row r="179" spans="1:10" ht="15" thickBot="1">
      <c r="A179" s="74" t="str">
        <v>Lacquer (DIY) indoor (in use)</v>
      </c>
      <c r="B179" s="335" t="str">
        <f>IFERROR(VLOOKUP(A179,'Compartments_Kawecki&amp;Nowack19'!A:C,2,FALSE), IFERROR(VLOOKUP(A179,Compartments_Added!A:C,2,FALSE), "Not found"))</f>
        <v>Stock</v>
      </c>
      <c r="C179" s="335" t="str">
        <f>IFERROR(VLOOKUP(A179,'Compartments_Kawecki&amp;Nowack19'!A:C,3,FALSE), IFERROR(VLOOKUP(A179,Compartments_Added!A:C,3,FALSE), "Not found"))</f>
        <v>LacquerDiyInIU</v>
      </c>
      <c r="D179" s="95" t="str">
        <f>IFERROR(IF(VLOOKUP(A179,'Compartments_Kawecki&amp;Nowack19'!A:C,1,FALSE)=A179, "Kawecki","what?"),"Added/changed")</f>
        <v>Added/changed</v>
      </c>
      <c r="F179" s="17"/>
      <c r="G179" s="496" t="str">
        <v>Lacquer (DIY) outdoor (discarded)</v>
      </c>
      <c r="H179" s="313" t="str">
        <v>Other paint uses (prof) indoor</v>
      </c>
      <c r="I179" s="501" t="str">
        <v>Lacquer (DIY) outdoor (in use)</v>
      </c>
      <c r="J179" t="str">
        <v>Wall paint (prof) outdoor (discarded)</v>
      </c>
    </row>
    <row r="180" spans="1:10" ht="15" thickBot="1">
      <c r="A180" s="74" t="str">
        <v>Lacquer (DIY) outdoor (discarded)</v>
      </c>
      <c r="B180" s="335" t="str">
        <f>IFERROR(VLOOKUP(A180,'Compartments_Kawecki&amp;Nowack19'!A:C,2,FALSE), IFERROR(VLOOKUP(A180,Compartments_Added!A:C,2,FALSE), "Not found"))</f>
        <v>Stock</v>
      </c>
      <c r="C180" s="335" t="str">
        <f>IFERROR(VLOOKUP(A180,'Compartments_Kawecki&amp;Nowack19'!A:C,3,FALSE), IFERROR(VLOOKUP(A180,Compartments_Added!A:C,3,FALSE), "Not found"))</f>
        <v>LacquerDiyOutDis</v>
      </c>
      <c r="D180" s="95" t="str">
        <f>IFERROR(IF(VLOOKUP(A180,'Compartments_Kawecki&amp;Nowack19'!A:C,1,FALSE)=A180, "Kawecki","what?"),"Added/changed")</f>
        <v>Added/changed</v>
      </c>
      <c r="F180" s="17"/>
      <c r="G180" s="496" t="str">
        <v>Lacquer (DIY) indoor (discarded)</v>
      </c>
      <c r="H180" s="313" t="str">
        <v>Other paint uses (prof) outdoor (in use)</v>
      </c>
      <c r="I180" s="501" t="str">
        <v>Lacquer (DIY) indoor</v>
      </c>
      <c r="J180" t="str">
        <v>Wall paint (prof) indoor (discarded)</v>
      </c>
    </row>
    <row r="181" spans="1:10" ht="15" thickBot="1">
      <c r="A181" s="74" t="str">
        <v>Lacquer (DIY) indoor (discarded)</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LacquerDiyInDis</v>
      </c>
      <c r="D181" s="95" t="str">
        <f>IFERROR(IF(VLOOKUP(A181,'Compartments_Kawecki&amp;Nowack19'!A:C,1,FALSE)=A181, "Kawecki","what?"),"Added/changed")</f>
        <v>Added/changed</v>
      </c>
      <c r="F181" s="17"/>
      <c r="G181" s="496" t="str">
        <v>Wood stain (DIY)</v>
      </c>
      <c r="H181" s="313" t="str">
        <v>Other paint uses (prof) outdoor (discarded)</v>
      </c>
      <c r="I181" s="501" t="str">
        <v>Lacquer (DIY) indoor (in use)</v>
      </c>
      <c r="J181" t="str">
        <v>Plaster (prof)</v>
      </c>
    </row>
    <row r="182" spans="1:10" ht="15" thickBot="1">
      <c r="A182" s="74" t="str">
        <v>Wood stain (DIY)</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WoodDiy</v>
      </c>
      <c r="D182" s="95" t="str">
        <f>IFERROR(IF(VLOOKUP(A182,'Compartments_Kawecki&amp;Nowack19'!A:C,1,FALSE)=A182, "Kawecki","what?"),"Added/changed")</f>
        <v>Added/changed</v>
      </c>
      <c r="F182" s="17"/>
      <c r="G182" s="496" t="str">
        <v>Wood stain (DIY) outdoor</v>
      </c>
      <c r="H182" s="313" t="str">
        <v>Other paint uses (prof) indoor (in use)</v>
      </c>
      <c r="I182" s="501" t="str">
        <v>Lacquer (DIY) outdoor (discarded)</v>
      </c>
      <c r="J182" t="str">
        <v>Plaster (prof) outdoor</v>
      </c>
    </row>
    <row r="183" spans="1:10" ht="15" thickBot="1">
      <c r="A183" s="74" t="str">
        <v>Wood stain (DIY) outdoor</v>
      </c>
      <c r="B183" s="335" t="str">
        <f>IFERROR(VLOOKUP(A183,'Compartments_Kawecki&amp;Nowack19'!A:C,2,FALSE), IFERROR(VLOOKUP(A183,Compartments_Added!A:C,2,FALSE), "Not found"))</f>
        <v>Flow</v>
      </c>
      <c r="C183" s="335" t="str">
        <f>IFERROR(VLOOKUP(A183,'Compartments_Kawecki&amp;Nowack19'!A:C,3,FALSE), IFERROR(VLOOKUP(A183,Compartments_Added!A:C,3,FALSE), "Not found"))</f>
        <v>WoodDiyOut</v>
      </c>
      <c r="D183" s="95" t="str">
        <f>IFERROR(IF(VLOOKUP(A183,'Compartments_Kawecki&amp;Nowack19'!A:C,1,FALSE)=A183, "Kawecki","what?"),"Added/changed")</f>
        <v>Added/changed</v>
      </c>
      <c r="F183" s="17"/>
      <c r="G183" s="496" t="str">
        <v>Wood stain (DIY) outdoor (in use)</v>
      </c>
      <c r="H183" s="313" t="str">
        <v>Other paint uses (prof) indoor (discarded)</v>
      </c>
      <c r="I183" s="501" t="str">
        <v>Lacquer (DIY) indoor (discarded)</v>
      </c>
      <c r="J183" t="str">
        <v>Plaster (prof) outdoor (in use)</v>
      </c>
    </row>
    <row r="184" spans="1:10" ht="15" thickBot="1">
      <c r="A184" s="74" t="str">
        <v>Wood stain (DIY) outdoor (in use)</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WoodStainDiyOutIU</v>
      </c>
      <c r="D184" s="95" t="str">
        <f>IFERROR(IF(VLOOKUP(A184,'Compartments_Kawecki&amp;Nowack19'!A:C,1,FALSE)=A184, "Kawecki","what?"),"Added/changed")</f>
        <v>Added/changed</v>
      </c>
      <c r="F184" s="17"/>
      <c r="G184" s="496" t="str">
        <v>Wood stain (DIY) indoor</v>
      </c>
      <c r="H184" s="313" t="str">
        <v>Paints used in pre-made wooden products outdoor</v>
      </c>
      <c r="I184" s="501" t="str">
        <v>Wood stain (DIY)</v>
      </c>
      <c r="J184" t="str">
        <v>Plaster (prof) indoor</v>
      </c>
    </row>
    <row r="185" spans="1:10" ht="15" thickBot="1">
      <c r="A185" s="74" t="str">
        <v>Wood stain (DIY) indoor</v>
      </c>
      <c r="B185" s="335" t="str">
        <f>IFERROR(VLOOKUP(A185,'Compartments_Kawecki&amp;Nowack19'!A:C,2,FALSE), IFERROR(VLOOKUP(A185,Compartments_Added!A:C,2,FALSE), "Not found"))</f>
        <v>Flow</v>
      </c>
      <c r="C185" s="335" t="str">
        <f>IFERROR(VLOOKUP(A185,'Compartments_Kawecki&amp;Nowack19'!A:C,3,FALSE), IFERROR(VLOOKUP(A185,Compartments_Added!A:C,3,FALSE), "Not found"))</f>
        <v>WoodDiyIn</v>
      </c>
      <c r="D185" s="95" t="str">
        <f>IFERROR(IF(VLOOKUP(A185,'Compartments_Kawecki&amp;Nowack19'!A:C,1,FALSE)=A185, "Kawecki","what?"),"Added/changed")</f>
        <v>Added/changed</v>
      </c>
      <c r="F185" s="17"/>
      <c r="G185" s="496" t="str">
        <v>Wood stain (DIY) indoor (in use)</v>
      </c>
      <c r="H185" s="313" t="str">
        <v>Paints used in pre-made wooden products indoor</v>
      </c>
      <c r="I185" s="501" t="str">
        <v>Wood stain (DIY) outdoor</v>
      </c>
      <c r="J185" t="str">
        <v>Plaster (prof) indoor (in use)</v>
      </c>
    </row>
    <row r="186" spans="1:10" ht="15" thickBot="1">
      <c r="A186" s="74" t="str">
        <v>Wood stain (DIY) indoor (in use)</v>
      </c>
      <c r="B186" s="335" t="str">
        <f>IFERROR(VLOOKUP(A186,'Compartments_Kawecki&amp;Nowack19'!A:C,2,FALSE), IFERROR(VLOOKUP(A186,Compartments_Added!A:C,2,FALSE), "Not found"))</f>
        <v>Stock</v>
      </c>
      <c r="C186" s="335" t="str">
        <f>IFERROR(VLOOKUP(A186,'Compartments_Kawecki&amp;Nowack19'!A:C,3,FALSE), IFERROR(VLOOKUP(A186,Compartments_Added!A:C,3,FALSE), "Not found"))</f>
        <v>WoodStainDiyInIU</v>
      </c>
      <c r="D186" s="95" t="str">
        <f>IFERROR(IF(VLOOKUP(A186,'Compartments_Kawecki&amp;Nowack19'!A:C,1,FALSE)=A186, "Kawecki","what?"),"Added/changed")</f>
        <v>Added/changed</v>
      </c>
      <c r="F186" s="17"/>
      <c r="G186" s="496" t="str">
        <v>Wood stain (DIY) outdoor (discarded)</v>
      </c>
      <c r="H186" s="313" t="str">
        <v>Paints used in pre-made wooden products outdoor (in use)</v>
      </c>
      <c r="I186" s="501" t="str">
        <v>Wood stain (DIY) outdoor (in use)</v>
      </c>
      <c r="J186" t="str">
        <v>Plaster (prof) outdoor (discarded)</v>
      </c>
    </row>
    <row r="187" spans="1:10" ht="15" thickBot="1">
      <c r="A187" s="74" t="str">
        <v>Wood stain (DIY) outdoor (discarded)</v>
      </c>
      <c r="B187" s="335" t="str">
        <f>IFERROR(VLOOKUP(A187,'Compartments_Kawecki&amp;Nowack19'!A:C,2,FALSE), IFERROR(VLOOKUP(A187,Compartments_Added!A:C,2,FALSE), "Not found"))</f>
        <v>Stock</v>
      </c>
      <c r="C187" s="335" t="str">
        <f>IFERROR(VLOOKUP(A187,'Compartments_Kawecki&amp;Nowack19'!A:C,3,FALSE), IFERROR(VLOOKUP(A187,Compartments_Added!A:C,3,FALSE), "Not found"))</f>
        <v>WoodStainDiyOutDis</v>
      </c>
      <c r="D187" s="95" t="str">
        <f>IFERROR(IF(VLOOKUP(A187,'Compartments_Kawecki&amp;Nowack19'!A:C,1,FALSE)=A187, "Kawecki","what?"),"Added/changed")</f>
        <v>Added/changed</v>
      </c>
      <c r="F187" s="17"/>
      <c r="G187" s="496" t="str">
        <v>Wood stain (DIY) indoor (discarded)</v>
      </c>
      <c r="H187" s="313" t="str">
        <v>Paints used in pre-made wooden products outdoor (discarded)</v>
      </c>
      <c r="I187" s="501" t="str">
        <v>Wood stain (DIY) indoor</v>
      </c>
      <c r="J187" t="str">
        <v>Plaster (prof) indoor (discarded)</v>
      </c>
    </row>
    <row r="188" spans="1:10" ht="15" thickBot="1">
      <c r="A188" s="74" t="str">
        <v>Wood stain (DIY) indoor (discarded)</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WoodStainDiyInDis</v>
      </c>
      <c r="D188" s="95" t="str">
        <f>IFERROR(IF(VLOOKUP(A188,'Compartments_Kawecki&amp;Nowack19'!A:C,1,FALSE)=A188, "Kawecki","what?"),"Added/changed")</f>
        <v>Added/changed</v>
      </c>
      <c r="F188" s="17"/>
      <c r="G188" s="496" t="str">
        <v>Wall paint (DIY)</v>
      </c>
      <c r="H188" s="313" t="str">
        <v>Paints used in pre-made wooden products indoor (in use)</v>
      </c>
      <c r="I188" s="501" t="str">
        <v>Wood stain (DIY) indoor (in use)</v>
      </c>
      <c r="J188" t="str">
        <v>Other paint uses (prof)</v>
      </c>
    </row>
    <row r="189" spans="1:10" ht="15" thickBot="1">
      <c r="A189" s="74" t="str">
        <v>Wall paint (DIY)</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WallDiy</v>
      </c>
      <c r="D189" s="95" t="str">
        <f>IFERROR(IF(VLOOKUP(A189,'Compartments_Kawecki&amp;Nowack19'!A:C,1,FALSE)=A189, "Kawecki","what?"),"Added/changed")</f>
        <v>Added/changed</v>
      </c>
      <c r="G189" s="496" t="str">
        <v>Wall paint (DIY) outdoor</v>
      </c>
      <c r="H189" s="313" t="str">
        <v>Paints used in pre-made wooden products indoor (discarded)</v>
      </c>
      <c r="I189" s="501" t="str">
        <v>Wood stain (DIY) outdoor (discarded)</v>
      </c>
      <c r="J189" t="str">
        <v>Other paint uses (prof) outdoor</v>
      </c>
    </row>
    <row r="190" spans="1:10" ht="15" thickBot="1">
      <c r="A190" s="74" t="str">
        <v>Wall paint (DIY) outdoor</v>
      </c>
      <c r="B190" s="335" t="str">
        <f>IFERROR(VLOOKUP(A190,'Compartments_Kawecki&amp;Nowack19'!A:C,2,FALSE), IFERROR(VLOOKUP(A190,Compartments_Added!A:C,2,FALSE), "Not found"))</f>
        <v>Flow</v>
      </c>
      <c r="C190" s="335" t="str">
        <f>IFERROR(VLOOKUP(A190,'Compartments_Kawecki&amp;Nowack19'!A:C,3,FALSE), IFERROR(VLOOKUP(A190,Compartments_Added!A:C,3,FALSE), "Not found"))</f>
        <v>WallDiyOut</v>
      </c>
      <c r="D190" s="95" t="str">
        <f>IFERROR(IF(VLOOKUP(A190,'Compartments_Kawecki&amp;Nowack19'!A:C,1,FALSE)=A190, "Kawecki","what?"),"Added/changed")</f>
        <v>Added/changed</v>
      </c>
      <c r="G190" s="496" t="str">
        <v>Wall paint (DIY) outdoor (in use)</v>
      </c>
      <c r="H190" s="313" t="str">
        <v>Lacquer (DIY) outdoor</v>
      </c>
      <c r="I190" s="501" t="str">
        <v>Wood stain (DIY) indoor (discarded)</v>
      </c>
      <c r="J190" t="str">
        <v>Other paint uses (prof) outdoor (in use)</v>
      </c>
    </row>
    <row r="191" spans="1:10" ht="15" thickBot="1">
      <c r="A191" s="74" t="str">
        <v>Wall paint (DIY) outdoor (in use)</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WallPaintDiyOutIU</v>
      </c>
      <c r="D191" s="95" t="str">
        <f>IFERROR(IF(VLOOKUP(A191,'Compartments_Kawecki&amp;Nowack19'!A:C,1,FALSE)=A191, "Kawecki","what?"),"Added/changed")</f>
        <v>Added/changed</v>
      </c>
      <c r="G191" s="496" t="str">
        <v>Wall paint (DIY) indoor</v>
      </c>
      <c r="H191" s="313" t="str">
        <v>Lacquer (DIY) indoor</v>
      </c>
      <c r="I191" s="501" t="str">
        <v>Wall paint (DIY)</v>
      </c>
      <c r="J191" t="str">
        <v>Other paint uses (prof) indoor</v>
      </c>
    </row>
    <row r="192" spans="1:10" ht="15" thickBot="1">
      <c r="A192" s="74" t="str">
        <v>Wall paint (DIY) indoor</v>
      </c>
      <c r="B192" s="335" t="str">
        <f>IFERROR(VLOOKUP(A192,'Compartments_Kawecki&amp;Nowack19'!A:C,2,FALSE), IFERROR(VLOOKUP(A192,Compartments_Added!A:C,2,FALSE), "Not found"))</f>
        <v>Flow</v>
      </c>
      <c r="C192" s="335" t="str">
        <f>IFERROR(VLOOKUP(A192,'Compartments_Kawecki&amp;Nowack19'!A:C,3,FALSE), IFERROR(VLOOKUP(A192,Compartments_Added!A:C,3,FALSE), "Not found"))</f>
        <v>WallDiyIn</v>
      </c>
      <c r="D192" s="95" t="str">
        <f>IFERROR(IF(VLOOKUP(A192,'Compartments_Kawecki&amp;Nowack19'!A:C,1,FALSE)=A192, "Kawecki","what?"),"Added/changed")</f>
        <v>Added/changed</v>
      </c>
      <c r="G192" s="496" t="str">
        <v>Wall paint (DIY) indoor applied</v>
      </c>
      <c r="H192" s="313" t="str">
        <v>Lacquer (DIY) outdoor (in use)</v>
      </c>
      <c r="I192" s="501" t="str">
        <v>Wall paint (DIY) outdoor</v>
      </c>
      <c r="J192" t="str">
        <v>Other paint uses (prof) indoor (in use)</v>
      </c>
    </row>
    <row r="193" spans="1:10" ht="15" thickBot="1">
      <c r="A193" s="74" t="str">
        <v>Wall paint (DIY) indoor applied</v>
      </c>
      <c r="B193" s="335" t="str">
        <f>IFERROR(VLOOKUP(A193,'Compartments_Kawecki&amp;Nowack19'!A:C,2,FALSE), IFERROR(VLOOKUP(A193,Compartments_Added!A:C,2,FALSE), "Not found"))</f>
        <v>Flow</v>
      </c>
      <c r="C193" s="335" t="str">
        <f>IFERROR(VLOOKUP(A193,'Compartments_Kawecki&amp;Nowack19'!A:C,3,FALSE), IFERROR(VLOOKUP(A193,Compartments_Added!A:C,3,FALSE), "Not found"))</f>
        <v>WallApplDiy</v>
      </c>
      <c r="D193" s="95" t="str">
        <f>IFERROR(IF(VLOOKUP(A193,'Compartments_Kawecki&amp;Nowack19'!A:C,1,FALSE)=A193, "Kawecki","what?"),"Added/changed")</f>
        <v>Added/changed</v>
      </c>
      <c r="G193" s="496" t="str">
        <v>Wall paint (DIY) indoor applied (in use)</v>
      </c>
      <c r="H193" s="313" t="str">
        <v>Lacquer (DIY) outdoor (discarded)</v>
      </c>
      <c r="I193" s="501" t="str">
        <v>Wall paint (DIY) outdoor (in use)</v>
      </c>
      <c r="J193" t="str">
        <v>Other paint uses (prof) outdoor (discarded)</v>
      </c>
    </row>
    <row r="194" spans="1:10" ht="15" thickBot="1">
      <c r="A194" s="74" t="str">
        <v>Wall paint (DIY) indoor applied (in use)</v>
      </c>
      <c r="B194" s="335" t="str">
        <f>IFERROR(VLOOKUP(A194,'Compartments_Kawecki&amp;Nowack19'!A:C,2,FALSE), IFERROR(VLOOKUP(A194,Compartments_Added!A:C,2,FALSE), "Not found"))</f>
        <v>Stock</v>
      </c>
      <c r="C194" s="335" t="str">
        <f>IFERROR(VLOOKUP(A194,'Compartments_Kawecki&amp;Nowack19'!A:C,3,FALSE), IFERROR(VLOOKUP(A194,Compartments_Added!A:C,3,FALSE), "Not found"))</f>
        <v>WallPaintDiyIndoorAppliedIU</v>
      </c>
      <c r="D194" s="95" t="str">
        <f>IFERROR(IF(VLOOKUP(A194,'Compartments_Kawecki&amp;Nowack19'!A:C,1,FALSE)=A194, "Kawecki","what?"),"Added/changed")</f>
        <v>Added/changed</v>
      </c>
      <c r="G194" s="496" t="str">
        <v>Wall paint (DIY) indoor on brush</v>
      </c>
      <c r="H194" s="313" t="str">
        <v>Lacquer (DIY) indoor (in use)</v>
      </c>
      <c r="I194" s="501" t="str">
        <v>Wall paint (DIY) indoor</v>
      </c>
      <c r="J194" t="str">
        <v>Other paint uses (prof) indoor (discarded)</v>
      </c>
    </row>
    <row r="195" spans="1:10" ht="15" thickBot="1">
      <c r="A195" s="74" t="str">
        <v>Wall paint (DIY) indoor on brush</v>
      </c>
      <c r="B195" s="335" t="str">
        <f>IFERROR(VLOOKUP(A195,'Compartments_Kawecki&amp;Nowack19'!A:C,2,FALSE), IFERROR(VLOOKUP(A195,Compartments_Added!A:C,2,FALSE), "Not found"))</f>
        <v>Flow</v>
      </c>
      <c r="C195" s="335" t="str">
        <f>IFERROR(VLOOKUP(A195,'Compartments_Kawecki&amp;Nowack19'!A:C,3,FALSE), IFERROR(VLOOKUP(A195,Compartments_Added!A:C,3,FALSE), "Not found"))</f>
        <v>WallBrushDiy</v>
      </c>
      <c r="D195" s="95" t="str">
        <f>IFERROR(IF(VLOOKUP(A195,'Compartments_Kawecki&amp;Nowack19'!A:C,1,FALSE)=A195, "Kawecki","what?"),"Added/changed")</f>
        <v>Added/changed</v>
      </c>
      <c r="G195" s="496" t="str">
        <v>Wall paint (DIY) outdoor (discarded)</v>
      </c>
      <c r="H195" s="313" t="str">
        <v>Lacquer (DIY) indoor (discarded)</v>
      </c>
      <c r="I195" s="501" t="str">
        <v>Wall paint (DIY) indoor applied</v>
      </c>
      <c r="J195" t="str">
        <v>Paints used in pre-made wooden products</v>
      </c>
    </row>
    <row r="196" spans="1:10" ht="15" thickBot="1">
      <c r="A196" s="74" t="str">
        <v>Wall paint (DIY) outdoor (discarded)</v>
      </c>
      <c r="B196" s="335" t="str">
        <f>IFERROR(VLOOKUP(A196,'Compartments_Kawecki&amp;Nowack19'!A:C,2,FALSE), IFERROR(VLOOKUP(A196,Compartments_Added!A:C,2,FALSE), "Not found"))</f>
        <v>Stock</v>
      </c>
      <c r="C196" s="335" t="str">
        <f>IFERROR(VLOOKUP(A196,'Compartments_Kawecki&amp;Nowack19'!A:C,3,FALSE), IFERROR(VLOOKUP(A196,Compartments_Added!A:C,3,FALSE), "Not found"))</f>
        <v>WallPaintDiyOutDis</v>
      </c>
      <c r="D196" s="95" t="str">
        <f>IFERROR(IF(VLOOKUP(A196,'Compartments_Kawecki&amp;Nowack19'!A:C,1,FALSE)=A196, "Kawecki","what?"),"Added/changed")</f>
        <v>Added/changed</v>
      </c>
      <c r="G196" s="496" t="str">
        <v>Wall paint (DIY) indoor applied (discarded)</v>
      </c>
      <c r="H196" s="313" t="str">
        <v>Wood stain (DIY) outdoor</v>
      </c>
      <c r="I196" s="501" t="str">
        <v>Wall paint (DIY) indoor applied (in use)</v>
      </c>
      <c r="J196" t="str">
        <v>Paints used in pre-made wooden products outdoor</v>
      </c>
    </row>
    <row r="197" spans="1:10" ht="15" thickBot="1">
      <c r="A197" s="74" t="str">
        <v>Wall paint (DIY) indoor applied (discarded)</v>
      </c>
      <c r="B197" s="335" t="str">
        <f>IFERROR(VLOOKUP(A197,'Compartments_Kawecki&amp;Nowack19'!A:C,2,FALSE), IFERROR(VLOOKUP(A197,Compartments_Added!A:C,2,FALSE), "Not found"))</f>
        <v>Stock</v>
      </c>
      <c r="C197" s="335" t="str">
        <f>IFERROR(VLOOKUP(A197,'Compartments_Kawecki&amp;Nowack19'!A:C,3,FALSE), IFERROR(VLOOKUP(A197,Compartments_Added!A:C,3,FALSE), "Not found"))</f>
        <v>WallPaintDiyIndoorAppliedDis</v>
      </c>
      <c r="D197" s="95" t="str">
        <f>IFERROR(IF(VLOOKUP(A197,'Compartments_Kawecki&amp;Nowack19'!A:C,1,FALSE)=A197, "Kawecki","what?"),"Added/changed")</f>
        <v>Added/changed</v>
      </c>
      <c r="G197" s="496" t="str">
        <v>Plaster (DIY)</v>
      </c>
      <c r="H197" s="313" t="str">
        <v>Wood stain (DIY) indoor</v>
      </c>
      <c r="I197" s="501" t="str">
        <v>Wall paint (DIY) indoor on brush</v>
      </c>
      <c r="J197" t="str">
        <v>Paints used in pre-made wooden products outdoor (in use)</v>
      </c>
    </row>
    <row r="198" spans="1:10" ht="15" thickBot="1">
      <c r="A198" s="74" t="str">
        <v>Plaster (DIY)</v>
      </c>
      <c r="B198" s="335" t="str">
        <f>IFERROR(VLOOKUP(A198,'Compartments_Kawecki&amp;Nowack19'!A:C,2,FALSE), IFERROR(VLOOKUP(A198,Compartments_Added!A:C,2,FALSE), "Not found"))</f>
        <v>Flow</v>
      </c>
      <c r="C198" s="335" t="str">
        <f>IFERROR(VLOOKUP(A198,'Compartments_Kawecki&amp;Nowack19'!A:C,3,FALSE), IFERROR(VLOOKUP(A198,Compartments_Added!A:C,3,FALSE), "Not found"))</f>
        <v>PlasterDiy</v>
      </c>
      <c r="D198" s="95" t="str">
        <f>IFERROR(IF(VLOOKUP(A198,'Compartments_Kawecki&amp;Nowack19'!A:C,1,FALSE)=A198, "Kawecki","what?"),"Added/changed")</f>
        <v>Added/changed</v>
      </c>
      <c r="G198" s="496" t="str">
        <v>Plaster (DIY) outdoor</v>
      </c>
      <c r="H198" s="313" t="str">
        <v>Wood stain (DIY) outdoor (in use)</v>
      </c>
      <c r="I198" s="501" t="str">
        <v>Wall paint (DIY) outdoor (discarded)</v>
      </c>
      <c r="J198" t="str">
        <v>Paints used in pre-made wooden products indoor</v>
      </c>
    </row>
    <row r="199" spans="1:10" ht="15" thickBot="1">
      <c r="A199" s="74" t="str">
        <v>Plaster (DIY) outdoor</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PlasterDiyOut</v>
      </c>
      <c r="D199" s="95" t="str">
        <f>IFERROR(IF(VLOOKUP(A199,'Compartments_Kawecki&amp;Nowack19'!A:C,1,FALSE)=A199, "Kawecki","what?"),"Added/changed")</f>
        <v>Added/changed</v>
      </c>
      <c r="G199" s="496" t="str">
        <v>Plaster (DIY) outdoor (in use)</v>
      </c>
      <c r="H199" s="313" t="str">
        <v>Wood stain (DIY) outdoor (discarded)</v>
      </c>
      <c r="I199" s="501" t="str">
        <v>Wall paint (DIY) indoor applied (discarded)</v>
      </c>
      <c r="J199" t="str">
        <v>Paints used in pre-made wooden products indoor (in use)</v>
      </c>
    </row>
    <row r="200" spans="1:10" ht="15" thickBot="1">
      <c r="A200" s="74" t="str">
        <v>Plaster (DIY) outdoor (in use)</v>
      </c>
      <c r="B200" s="335" t="str">
        <f>IFERROR(VLOOKUP(A200,'Compartments_Kawecki&amp;Nowack19'!A:C,2,FALSE), IFERROR(VLOOKUP(A200,Compartments_Added!A:C,2,FALSE), "Not found"))</f>
        <v>Stock</v>
      </c>
      <c r="C200" s="335" t="str">
        <f>IFERROR(VLOOKUP(A200,'Compartments_Kawecki&amp;Nowack19'!A:C,3,FALSE), IFERROR(VLOOKUP(A200,Compartments_Added!A:C,3,FALSE), "Not found"))</f>
        <v>PlasterDiyOutIU</v>
      </c>
      <c r="D200" s="95" t="str">
        <f>IFERROR(IF(VLOOKUP(A200,'Compartments_Kawecki&amp;Nowack19'!A:C,1,FALSE)=A200, "Kawecki","what?"),"Added/changed")</f>
        <v>Added/changed</v>
      </c>
      <c r="G200" s="496" t="str">
        <v>Plaster (DIY) indoor</v>
      </c>
      <c r="H200" s="313" t="str">
        <v>Wood stain (DIY) indoor (in use)</v>
      </c>
      <c r="I200" s="501" t="str">
        <v>Plaster (DIY)</v>
      </c>
      <c r="J200" s="501" t="str">
        <v>Paints used in pre-made wooden products outdoor (discarded)</v>
      </c>
    </row>
    <row r="201" spans="1:10" ht="15" thickBot="1">
      <c r="A201" s="74" t="str">
        <v>Plaster (DIY) indoor</v>
      </c>
      <c r="B201" s="335" t="str">
        <f>IFERROR(VLOOKUP(A201,'Compartments_Kawecki&amp;Nowack19'!A:C,2,FALSE), IFERROR(VLOOKUP(A201,Compartments_Added!A:C,2,FALSE), "Not found"))</f>
        <v>Flow</v>
      </c>
      <c r="C201" s="335" t="str">
        <f>IFERROR(VLOOKUP(A201,'Compartments_Kawecki&amp;Nowack19'!A:C,3,FALSE), IFERROR(VLOOKUP(A201,Compartments_Added!A:C,3,FALSE), "Not found"))</f>
        <v>PlasterDiyIn</v>
      </c>
      <c r="D201" s="95" t="str">
        <f>IFERROR(IF(VLOOKUP(A201,'Compartments_Kawecki&amp;Nowack19'!A:C,1,FALSE)=A201, "Kawecki","what?"),"Added/changed")</f>
        <v>Added/changed</v>
      </c>
      <c r="G201" s="496" t="str">
        <v>Plaster (DIY) indoor (in use)</v>
      </c>
      <c r="H201" s="313" t="str">
        <v>Wood stain (DIY) indoor (discarded)</v>
      </c>
      <c r="I201" s="501" t="str">
        <v>Plaster (DIY) outdoor</v>
      </c>
      <c r="J201" t="str">
        <v>Paints used in pre-made wooden products indoor (discarded)</v>
      </c>
    </row>
    <row r="202" spans="1:10" ht="15" thickBot="1">
      <c r="A202" s="74" t="str">
        <v>Plaster (DIY) indoor (in use)</v>
      </c>
      <c r="B202" s="335" t="str">
        <f>IFERROR(VLOOKUP(A202,'Compartments_Kawecki&amp;Nowack19'!A:C,2,FALSE), IFERROR(VLOOKUP(A202,Compartments_Added!A:C,2,FALSE), "Not found"))</f>
        <v>Stock</v>
      </c>
      <c r="C202" s="335" t="str">
        <f>IFERROR(VLOOKUP(A202,'Compartments_Kawecki&amp;Nowack19'!A:C,3,FALSE), IFERROR(VLOOKUP(A202,Compartments_Added!A:C,3,FALSE), "Not found"))</f>
        <v>PlasterDiyInIU</v>
      </c>
      <c r="D202" s="95" t="str">
        <f>IFERROR(IF(VLOOKUP(A202,'Compartments_Kawecki&amp;Nowack19'!A:C,1,FALSE)=A202, "Kawecki","what?"),"Added/changed")</f>
        <v>Added/changed</v>
      </c>
      <c r="G202" s="496" t="str">
        <v>Plaster (DIY) outdoor (discarded)</v>
      </c>
      <c r="H202" s="313" t="str">
        <v>Wall paint (DIY) outdoor</v>
      </c>
      <c r="I202" s="501" t="str">
        <v>Plaster (DIY) outdoor (in use)</v>
      </c>
      <c r="J202" t="str">
        <v>Lacquer (DIY)</v>
      </c>
    </row>
    <row r="203" spans="1:10" ht="15" thickBot="1">
      <c r="A203" s="74" t="str">
        <v>Plaster (DIY) outdoor (discarded)</v>
      </c>
      <c r="B203" s="335" t="str">
        <f>IFERROR(VLOOKUP(A203,'Compartments_Kawecki&amp;Nowack19'!A:C,2,FALSE), IFERROR(VLOOKUP(A203,Compartments_Added!A:C,2,FALSE), "Not found"))</f>
        <v>Stock</v>
      </c>
      <c r="C203" s="335" t="str">
        <f>IFERROR(VLOOKUP(A203,'Compartments_Kawecki&amp;Nowack19'!A:C,3,FALSE), IFERROR(VLOOKUP(A203,Compartments_Added!A:C,3,FALSE), "Not found"))</f>
        <v>PlasterDiyOutDis</v>
      </c>
      <c r="D203" s="95" t="str">
        <f>IFERROR(IF(VLOOKUP(A203,'Compartments_Kawecki&amp;Nowack19'!A:C,1,FALSE)=A203, "Kawecki","what?"),"Added/changed")</f>
        <v>Added/changed</v>
      </c>
      <c r="G203" s="496" t="str">
        <v>Plaster (DIY) indoor (discarded)</v>
      </c>
      <c r="H203" s="313" t="str">
        <v>Wall paint (DIY) indoor</v>
      </c>
      <c r="I203" s="501" t="str">
        <v>Plaster (DIY) indoor</v>
      </c>
      <c r="J203" t="str">
        <v>Lacquer (DIY) outdoor</v>
      </c>
    </row>
    <row r="204" spans="1:10" ht="15" thickBot="1">
      <c r="A204" s="74" t="str">
        <v>Plaster (DIY) indoor (discarded)</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PlasterDiyInDis</v>
      </c>
      <c r="D204" s="95" t="str">
        <f>IFERROR(IF(VLOOKUP(A204,'Compartments_Kawecki&amp;Nowack19'!A:C,1,FALSE)=A204, "Kawecki","what?"),"Added/changed")</f>
        <v>Added/changed</v>
      </c>
      <c r="G204" s="496" t="str">
        <v>Other paint uses (DIY)</v>
      </c>
      <c r="H204" s="313" t="str">
        <v>Wall paint (DIY) outdoor (in use)</v>
      </c>
      <c r="I204" s="501" t="str">
        <v>Plaster (DIY) indoor (in use)</v>
      </c>
      <c r="J204" t="str">
        <v>Lacquer (DIY) outdoor (in use)</v>
      </c>
    </row>
    <row r="205" spans="1:10" ht="15" thickBot="1">
      <c r="A205" s="74" t="str">
        <v>Other paint uses (DIY)</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OtherPaintUsesDiy</v>
      </c>
      <c r="D205" s="95" t="str">
        <f>IFERROR(IF(VLOOKUP(A205,'Compartments_Kawecki&amp;Nowack19'!A:C,1,FALSE)=A205, "Kawecki","what?"),"Added/changed")</f>
        <v>Added/changed</v>
      </c>
      <c r="G205" s="496" t="str">
        <v>Other paint uses (DIY) outdoor</v>
      </c>
      <c r="H205" s="313" t="str">
        <v>Wall paint (DIY) outdoor (discarded)</v>
      </c>
      <c r="I205" s="501" t="str">
        <v>Plaster (DIY) outdoor (discarded)</v>
      </c>
      <c r="J205" t="str">
        <v>Lacquer (DIY) indoor</v>
      </c>
    </row>
    <row r="206" spans="1:10" ht="15" thickBot="1">
      <c r="A206" s="74" t="str">
        <v>Other paint uses (DIY) outdoor</v>
      </c>
      <c r="B206" s="335" t="str">
        <f>IFERROR(VLOOKUP(A206,'Compartments_Kawecki&amp;Nowack19'!A:C,2,FALSE), IFERROR(VLOOKUP(A206,Compartments_Added!A:C,2,FALSE), "Not found"))</f>
        <v>Flow</v>
      </c>
      <c r="C206" s="335" t="str">
        <f>IFERROR(VLOOKUP(A206,'Compartments_Kawecki&amp;Nowack19'!A:C,3,FALSE), IFERROR(VLOOKUP(A206,Compartments_Added!A:C,3,FALSE), "Not found"))</f>
        <v>OtherPaintUsesDiyOut</v>
      </c>
      <c r="D206" s="95" t="str">
        <f>IFERROR(IF(VLOOKUP(A206,'Compartments_Kawecki&amp;Nowack19'!A:C,1,FALSE)=A206, "Kawecki","what?"),"Added/changed")</f>
        <v>Added/changed</v>
      </c>
      <c r="G206" s="496" t="str">
        <v>Other paint uses (DIY) outdoor (in use)</v>
      </c>
      <c r="H206" s="313" t="str">
        <v>Wall paint (DIY) indoor applied</v>
      </c>
      <c r="I206" s="501" t="str">
        <v>Plaster (DIY) indoor (discarded)</v>
      </c>
      <c r="J206" t="str">
        <v>Lacquer (DIY) indoor (in use)</v>
      </c>
    </row>
    <row r="207" spans="1:10" ht="15" thickBot="1">
      <c r="A207" s="74" t="str">
        <v>Other paint uses (DIY) outdoor (in use)</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OtherPaintUsesDiyOutIU</v>
      </c>
      <c r="D207" s="95" t="str">
        <f>IFERROR(IF(VLOOKUP(A207,'Compartments_Kawecki&amp;Nowack19'!A:C,1,FALSE)=A207, "Kawecki","what?"),"Added/changed")</f>
        <v>Added/changed</v>
      </c>
      <c r="G207" s="496" t="str">
        <v>Other paint uses (DIY) indoor</v>
      </c>
      <c r="H207" s="313" t="str">
        <v>Wall paint (DIY) indoor on brush</v>
      </c>
      <c r="I207" s="501" t="str">
        <v>Other paint uses (DIY)</v>
      </c>
      <c r="J207" t="str">
        <v>Lacquer (DIY) outdoor (discarded)</v>
      </c>
    </row>
    <row r="208" spans="1:10" ht="15" thickBot="1">
      <c r="A208" s="74" t="str">
        <v>Other paint uses (DIY) indoor</v>
      </c>
      <c r="B208" s="335" t="str">
        <f>IFERROR(VLOOKUP(A208,'Compartments_Kawecki&amp;Nowack19'!A:C,2,FALSE), IFERROR(VLOOKUP(A208,Compartments_Added!A:C,2,FALSE), "Not found"))</f>
        <v>Flow</v>
      </c>
      <c r="C208" s="335" t="str">
        <f>IFERROR(VLOOKUP(A208,'Compartments_Kawecki&amp;Nowack19'!A:C,3,FALSE), IFERROR(VLOOKUP(A208,Compartments_Added!A:C,3,FALSE), "Not found"))</f>
        <v>OtherPaintUsesDiyIn</v>
      </c>
      <c r="D208" s="95" t="str">
        <f>IFERROR(IF(VLOOKUP(A208,'Compartments_Kawecki&amp;Nowack19'!A:C,1,FALSE)=A208, "Kawecki","what?"),"Added/changed")</f>
        <v>Added/changed</v>
      </c>
      <c r="G208" s="496" t="str">
        <v>Other paint uses (DIY) indoor (in use)</v>
      </c>
      <c r="H208" s="313" t="str">
        <v>Wall paint (DIY) indoor applied (in use)</v>
      </c>
      <c r="I208" s="501" t="str">
        <v>Other paint uses (DIY) outdoor</v>
      </c>
      <c r="J208" t="str">
        <v>Lacquer (DIY) indoor (discarded)</v>
      </c>
    </row>
    <row r="209" spans="1:10" ht="15" thickBot="1">
      <c r="A209" s="74" t="str">
        <v>Other paint uses (DIY) indoor (in use)</v>
      </c>
      <c r="B209" s="335" t="str">
        <f>IFERROR(VLOOKUP(A209,'Compartments_Kawecki&amp;Nowack19'!A:C,2,FALSE), IFERROR(VLOOKUP(A209,Compartments_Added!A:C,2,FALSE), "Not found"))</f>
        <v>Stock</v>
      </c>
      <c r="C209" s="335" t="str">
        <f>IFERROR(VLOOKUP(A209,'Compartments_Kawecki&amp;Nowack19'!A:C,3,FALSE), IFERROR(VLOOKUP(A209,Compartments_Added!A:C,3,FALSE), "Not found"))</f>
        <v>OtherPaintUsesDiyInIU</v>
      </c>
      <c r="D209" s="95" t="str">
        <f>IFERROR(IF(VLOOKUP(A209,'Compartments_Kawecki&amp;Nowack19'!A:C,1,FALSE)=A209, "Kawecki","what?"),"Added/changed")</f>
        <v>Added/changed</v>
      </c>
      <c r="G209" s="496" t="str">
        <v>Other paint uses (DIY) outdoor (discarded)</v>
      </c>
      <c r="H209" s="313" t="str">
        <v>Wall paint (DIY) indoor applied (discarded)</v>
      </c>
      <c r="I209" s="501" t="str">
        <v>Other paint uses (DIY) outdoor (in use)</v>
      </c>
      <c r="J209" t="str">
        <v>Wood stain (DIY)</v>
      </c>
    </row>
    <row r="210" spans="1:10" ht="15" thickBot="1">
      <c r="A210" s="74" t="str">
        <v>Other paint uses (DIY) outdoor (discarded)</v>
      </c>
      <c r="B210" s="335" t="str">
        <f>IFERROR(VLOOKUP(A210,'Compartments_Kawecki&amp;Nowack19'!A:C,2,FALSE), IFERROR(VLOOKUP(A210,Compartments_Added!A:C,2,FALSE), "Not found"))</f>
        <v>Stock</v>
      </c>
      <c r="C210" s="335" t="str">
        <f>IFERROR(VLOOKUP(A210,'Compartments_Kawecki&amp;Nowack19'!A:C,3,FALSE), IFERROR(VLOOKUP(A210,Compartments_Added!A:C,3,FALSE), "Not found"))</f>
        <v>OtherPaintUsesDiyOutDis</v>
      </c>
      <c r="D210" s="95" t="str">
        <f>IFERROR(IF(VLOOKUP(A210,'Compartments_Kawecki&amp;Nowack19'!A:C,1,FALSE)=A210, "Kawecki","what?"),"Added/changed")</f>
        <v>Added/changed</v>
      </c>
      <c r="G210" s="496" t="str">
        <v>Other paint uses (DIY) indoor (discarded)</v>
      </c>
      <c r="H210" s="313" t="str">
        <v>Plaster (DIY) outdoor</v>
      </c>
      <c r="I210" s="501" t="str">
        <v>Other paint uses (DIY) indoor</v>
      </c>
      <c r="J210" t="str">
        <v>Wood stain (DIY) outdoor</v>
      </c>
    </row>
    <row r="211" spans="1:10" ht="15" thickBot="1">
      <c r="A211" s="74" t="str">
        <v>Other paint uses (DIY) indoor (discarded)</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OtherPaintUsesDiyInDis</v>
      </c>
      <c r="D211" s="95" t="str">
        <f>IFERROR(IF(VLOOKUP(A211,'Compartments_Kawecki&amp;Nowack19'!A:C,1,FALSE)=A211, "Kawecki","what?"),"Added/changed")</f>
        <v>Added/changed</v>
      </c>
      <c r="G211" s="496" t="str">
        <v>Import of clothing (EU)</v>
      </c>
      <c r="H211" s="313" t="str">
        <v>Plaster (DIY) indoor</v>
      </c>
      <c r="I211" s="501" t="str">
        <v>Other paint uses (DIY) indoor (in use)</v>
      </c>
      <c r="J211" t="str">
        <v>Wood stain (DIY) outdoor (in use)</v>
      </c>
    </row>
    <row r="212" spans="1:10" ht="15" thickBot="1">
      <c r="A212" s="74" t="str">
        <v>Clothing (product sector)</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ClothingProdSec</v>
      </c>
      <c r="D212" s="95" t="str">
        <f>IFERROR(IF(VLOOKUP(A212,'Compartments_Kawecki&amp;Nowack19'!A:C,1,FALSE)=A212, "Kawecki","what?"),"Added/changed")</f>
        <v>Kawecki</v>
      </c>
      <c r="G212" s="496" t="str">
        <v>Clothing (product sector)</v>
      </c>
      <c r="H212" s="313" t="str">
        <v>Plaster (DIY) outdoor (in use)</v>
      </c>
      <c r="I212" s="501" t="str">
        <v>Other paint uses (DIY) outdoor (discarded)</v>
      </c>
      <c r="J212" t="str">
        <v>Wood stain (DIY) indoor</v>
      </c>
    </row>
    <row r="213" spans="1:10" ht="15" thickBot="1">
      <c r="A213" s="74" t="str">
        <v>Clothing washing</v>
      </c>
      <c r="B213" s="335" t="str">
        <f>IFERROR(VLOOKUP(A213,'Compartments_Kawecki&amp;Nowack19'!A:C,2,FALSE), IFERROR(VLOOKUP(A213,Compartments_Added!A:C,2,FALSE), "Not found"))</f>
        <v>Flow</v>
      </c>
      <c r="C213" s="335" t="str">
        <f>IFERROR(VLOOKUP(A213,'Compartments_Kawecki&amp;Nowack19'!A:C,3,FALSE), IFERROR(VLOOKUP(A213,Compartments_Added!A:C,3,FALSE), "Not found"))</f>
        <v>ClothingWashing</v>
      </c>
      <c r="D213" s="95" t="str">
        <f>IFERROR(IF(VLOOKUP(A213,'Compartments_Kawecki&amp;Nowack19'!A:C,1,FALSE)=A213, "Kawecki","what?"),"Added/changed")</f>
        <v>Added/changed</v>
      </c>
      <c r="G213" s="496" t="str">
        <v>Clothing washing</v>
      </c>
      <c r="H213" s="313" t="str">
        <v>Plaster (DIY) outdoor (discarded)</v>
      </c>
      <c r="I213" s="501" t="str">
        <v>Other paint uses (DIY) indoor (discarded)</v>
      </c>
      <c r="J213" t="str">
        <v>Wood stain (DIY) indoor (in use)</v>
      </c>
    </row>
    <row r="214" spans="1:10" ht="15" thickBot="1">
      <c r="A214" s="74" t="str">
        <v>Clothing washing machine (with external filter)</v>
      </c>
      <c r="B214" s="335" t="str">
        <f>IFERROR(VLOOKUP(A214,'Compartments_Kawecki&amp;Nowack19'!A:C,2,FALSE), IFERROR(VLOOKUP(A214,Compartments_Added!A:C,2,FALSE), "Not found"))</f>
        <v>Flow</v>
      </c>
      <c r="C214" s="335" t="str">
        <f>IFERROR(VLOOKUP(A214,'Compartments_Kawecki&amp;Nowack19'!A:C,3,FALSE), IFERROR(VLOOKUP(A214,Compartments_Added!A:C,3,FALSE), "Not found"))</f>
        <v>ClothingExternalWithExternalFilter</v>
      </c>
      <c r="D214" s="95" t="str">
        <f>IFERROR(IF(VLOOKUP(A214,'Compartments_Kawecki&amp;Nowack19'!A:C,1,FALSE)=A214, "Kawecki","what?"),"Added/changed")</f>
        <v>Added/changed</v>
      </c>
      <c r="G214" s="496" t="str">
        <v>Clothing washing machine (with external filter)</v>
      </c>
      <c r="H214" s="313" t="str">
        <v>Plaster (DIY) indoor (in use)</v>
      </c>
      <c r="I214" s="501" t="str">
        <v>Clothing (product sector)</v>
      </c>
      <c r="J214" t="str">
        <v>Wood stain (DIY) outdoor (discarded)</v>
      </c>
    </row>
    <row r="215" spans="1:10" ht="15" thickBot="1">
      <c r="A215" s="74" t="str">
        <v>Clothing washing machine (without external filter)</v>
      </c>
      <c r="B215" s="335" t="str">
        <f>IFERROR(VLOOKUP(A215,'Compartments_Kawecki&amp;Nowack19'!A:C,2,FALSE), IFERROR(VLOOKUP(A215,Compartments_Added!A:C,2,FALSE), "Not found"))</f>
        <v>Flow</v>
      </c>
      <c r="C215" s="335" t="str">
        <f>IFERROR(VLOOKUP(A215,'Compartments_Kawecki&amp;Nowack19'!A:C,3,FALSE), IFERROR(VLOOKUP(A215,Compartments_Added!A:C,3,FALSE), "Not found"))</f>
        <v>ClothingExternalWithoutExternalFilter</v>
      </c>
      <c r="D215" s="95" t="str">
        <f>IFERROR(IF(VLOOKUP(A215,'Compartments_Kawecki&amp;Nowack19'!A:C,1,FALSE)=A215, "Kawecki","what?"),"Added/changed")</f>
        <v>Added/changed</v>
      </c>
      <c r="G215" s="496" t="str">
        <v>Clothing washing machine (without external filter)</v>
      </c>
      <c r="H215" s="313" t="str">
        <v>Plaster (DIY) indoor (discarded)</v>
      </c>
      <c r="I215" s="501" t="str">
        <v>Clothing washing</v>
      </c>
      <c r="J215" t="str">
        <v>Wood stain (DIY) indoor (discarded)</v>
      </c>
    </row>
    <row r="216" spans="1:10" ht="15" thickBot="1">
      <c r="A216" s="74" t="str">
        <v>Clothing washing by hand</v>
      </c>
      <c r="B216" s="335" t="str">
        <f>IFERROR(VLOOKUP(A216,'Compartments_Kawecki&amp;Nowack19'!A:C,2,FALSE), IFERROR(VLOOKUP(A216,Compartments_Added!A:C,2,FALSE), "Not found"))</f>
        <v>Flow</v>
      </c>
      <c r="C216" s="335" t="str">
        <f>IFERROR(VLOOKUP(A216,'Compartments_Kawecki&amp;Nowack19'!A:C,3,FALSE), IFERROR(VLOOKUP(A216,Compartments_Added!A:C,3,FALSE), "Not found"))</f>
        <v>ClothingByWashingByHand</v>
      </c>
      <c r="D216" s="95" t="str">
        <f>IFERROR(IF(VLOOKUP(A216,'Compartments_Kawecki&amp;Nowack19'!A:C,1,FALSE)=A216, "Kawecki","what?"),"Added/changed")</f>
        <v>Added/changed</v>
      </c>
      <c r="G216" s="496" t="str">
        <v>Clothing washing by hand</v>
      </c>
      <c r="H216" s="313" t="str">
        <v>Other paint uses (DIY) outdoor</v>
      </c>
      <c r="I216" s="501" t="str">
        <v>Clothing washing machine (with external filter)</v>
      </c>
      <c r="J216" t="str">
        <v>Wall paint (DIY)</v>
      </c>
    </row>
    <row r="217" spans="1:10" ht="15" thickBot="1">
      <c r="A217" s="74" t="str">
        <v>Clothing wearing</v>
      </c>
      <c r="B217" s="335" t="str">
        <f>IFERROR(VLOOKUP(A217,'Compartments_Kawecki&amp;Nowack19'!A:C,2,FALSE), IFERROR(VLOOKUP(A217,Compartments_Added!A:C,2,FALSE), "Not found"))</f>
        <v>Flow</v>
      </c>
      <c r="C217" s="335" t="str">
        <f>IFERROR(VLOOKUP(A217,'Compartments_Kawecki&amp;Nowack19'!A:C,3,FALSE), IFERROR(VLOOKUP(A217,Compartments_Added!A:C,3,FALSE), "Not found"))</f>
        <v>ClothingWearing</v>
      </c>
      <c r="D217" s="95" t="str">
        <f>IFERROR(IF(VLOOKUP(A217,'Compartments_Kawecki&amp;Nowack19'!A:C,1,FALSE)=A217, "Kawecki","what?"),"Added/changed")</f>
        <v>Added/changed</v>
      </c>
      <c r="G217" s="496" t="str">
        <v>Clothing wearing</v>
      </c>
      <c r="H217" s="313" t="str">
        <v>Other paint uses (DIY) indoor</v>
      </c>
      <c r="I217" s="501" t="str">
        <v>Clothing washing machine (without external filter)</v>
      </c>
      <c r="J217" t="str">
        <v>Wall paint (DIY) outdoor</v>
      </c>
    </row>
    <row r="218" spans="1:10" ht="15" thickBot="1">
      <c r="A218" s="74" t="str">
        <v>Clothing drying</v>
      </c>
      <c r="B218" s="335" t="str">
        <f>IFERROR(VLOOKUP(A218,'Compartments_Kawecki&amp;Nowack19'!A:C,2,FALSE), IFERROR(VLOOKUP(A218,Compartments_Added!A:C,2,FALSE), "Not found"))</f>
        <v>Flow</v>
      </c>
      <c r="C218" s="335" t="str">
        <f>IFERROR(VLOOKUP(A218,'Compartments_Kawecki&amp;Nowack19'!A:C,3,FALSE), IFERROR(VLOOKUP(A218,Compartments_Added!A:C,3,FALSE), "Not found"))</f>
        <v>ClothingDrying</v>
      </c>
      <c r="D218" s="95" t="str">
        <f>IFERROR(IF(VLOOKUP(A218,'Compartments_Kawecki&amp;Nowack19'!A:C,1,FALSE)=A218, "Kawecki","what?"),"Added/changed")</f>
        <v>Added/changed</v>
      </c>
      <c r="G218" s="496" t="str">
        <v>Clothing drying</v>
      </c>
      <c r="H218" s="313" t="str">
        <v>Other paint uses (DIY) outdoor (in use)</v>
      </c>
      <c r="I218" s="501" t="str">
        <v>Clothing washing by hand</v>
      </c>
      <c r="J218" t="str">
        <v>Wall paint (DIY) outdoor (in use)</v>
      </c>
    </row>
    <row r="219" spans="1:10" ht="15" thickBot="1">
      <c r="A219" s="74" t="str">
        <v>Clothing indoor drying</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ClothIndoorDrying</v>
      </c>
      <c r="D219" s="95" t="str">
        <f>IFERROR(IF(VLOOKUP(A219,'Compartments_Kawecki&amp;Nowack19'!A:C,1,FALSE)=A219, "Kawecki","what?"),"Added/changed")</f>
        <v>Added/changed</v>
      </c>
      <c r="G219" s="496" t="str">
        <v>Clothing indoor drying</v>
      </c>
      <c r="H219" s="313" t="str">
        <v>Other paint uses (DIY) outdoor (discarded)</v>
      </c>
      <c r="I219" s="501" t="str">
        <v>Clothing wearing</v>
      </c>
      <c r="J219" t="str">
        <v>Wall paint (DIY) indoor</v>
      </c>
    </row>
    <row r="220" spans="1:10" ht="15" thickBot="1">
      <c r="A220" s="74" t="str">
        <v>Clothing outdoor drying</v>
      </c>
      <c r="B220" s="335" t="str">
        <f>IFERROR(VLOOKUP(A220,'Compartments_Kawecki&amp;Nowack19'!A:C,2,FALSE), IFERROR(VLOOKUP(A220,Compartments_Added!A:C,2,FALSE), "Not found"))</f>
        <v>Flow</v>
      </c>
      <c r="C220" s="335" t="str">
        <f>IFERROR(VLOOKUP(A220,'Compartments_Kawecki&amp;Nowack19'!A:C,3,FALSE), IFERROR(VLOOKUP(A220,Compartments_Added!A:C,3,FALSE), "Not found"))</f>
        <v>ClothOutdoorDrying</v>
      </c>
      <c r="D220" s="95" t="str">
        <f>IFERROR(IF(VLOOKUP(A220,'Compartments_Kawecki&amp;Nowack19'!A:C,1,FALSE)=A220, "Kawecki","what?"),"Added/changed")</f>
        <v>Added/changed</v>
      </c>
      <c r="G220" s="496" t="str">
        <v>Clothing outdoor drying</v>
      </c>
      <c r="H220" s="313" t="str">
        <v>Other paint uses (DIY) indoor (in use)</v>
      </c>
      <c r="I220" s="501" t="str">
        <v>Clothing drying</v>
      </c>
      <c r="J220" t="str">
        <v>Wall paint (DIY) indoor applied</v>
      </c>
    </row>
    <row r="221" spans="1:10" ht="15" thickBot="1">
      <c r="A221" s="74" t="str">
        <v>Clothing drying VTD</v>
      </c>
      <c r="B221" s="335" t="str">
        <f>IFERROR(VLOOKUP(A221,'Compartments_Kawecki&amp;Nowack19'!A:C,2,FALSE), IFERROR(VLOOKUP(A221,Compartments_Added!A:C,2,FALSE), "Not found"))</f>
        <v>Flow</v>
      </c>
      <c r="C221" s="335" t="str">
        <f>IFERROR(VLOOKUP(A221,'Compartments_Kawecki&amp;Nowack19'!A:C,3,FALSE), IFERROR(VLOOKUP(A221,Compartments_Added!A:C,3,FALSE), "Not found"))</f>
        <v>ClothDryingVTD</v>
      </c>
      <c r="D221" s="95" t="str">
        <f>IFERROR(IF(VLOOKUP(A221,'Compartments_Kawecki&amp;Nowack19'!A:C,1,FALSE)=A221, "Kawecki","what?"),"Added/changed")</f>
        <v>Added/changed</v>
      </c>
      <c r="G221" s="496" t="str">
        <v>Clothing drying VTD</v>
      </c>
      <c r="H221" s="313" t="str">
        <v>Other paint uses (DIY) indoor (discarded)</v>
      </c>
      <c r="I221" s="501" t="str">
        <v>Clothing indoor drying</v>
      </c>
      <c r="J221" t="str">
        <v>Wall paint (DIY) indoor applied (in use)</v>
      </c>
    </row>
    <row r="222" spans="1:10" ht="15" thickBot="1">
      <c r="A222" s="74" t="str">
        <v>Clothing drying CHPTD</v>
      </c>
      <c r="B222" s="335" t="str">
        <f>IFERROR(VLOOKUP(A222,'Compartments_Kawecki&amp;Nowack19'!A:C,2,FALSE), IFERROR(VLOOKUP(A222,Compartments_Added!A:C,2,FALSE), "Not found"))</f>
        <v>Flow</v>
      </c>
      <c r="C222" s="335" t="str">
        <f>IFERROR(VLOOKUP(A222,'Compartments_Kawecki&amp;Nowack19'!A:C,3,FALSE), IFERROR(VLOOKUP(A222,Compartments_Added!A:C,3,FALSE), "Not found"))</f>
        <v>ClothDryingCHPTD</v>
      </c>
      <c r="D222" s="95" t="str">
        <f>IFERROR(IF(VLOOKUP(A222,'Compartments_Kawecki&amp;Nowack19'!A:C,1,FALSE)=A222, "Kawecki","what?"),"Added/changed")</f>
        <v>Added/changed</v>
      </c>
      <c r="G222" s="496" t="str">
        <v>Clothing drying CHPTD</v>
      </c>
      <c r="H222" s="313" t="str">
        <v>Clothing (product sector)</v>
      </c>
      <c r="I222" s="501" t="str">
        <v>Clothing outdoor drying</v>
      </c>
      <c r="J222" t="str">
        <v>Wall paint (DIY) indoor on brush</v>
      </c>
    </row>
    <row r="223" spans="1:10" ht="15" thickBot="1">
      <c r="A223" s="74" t="str">
        <v>Clothing drying CHETD</v>
      </c>
      <c r="B223" s="335" t="str">
        <f>IFERROR(VLOOKUP(A223,'Compartments_Kawecki&amp;Nowack19'!A:C,2,FALSE), IFERROR(VLOOKUP(A223,Compartments_Added!A:C,2,FALSE), "Not found"))</f>
        <v>Flow</v>
      </c>
      <c r="C223" s="335" t="str">
        <f>IFERROR(VLOOKUP(A223,'Compartments_Kawecki&amp;Nowack19'!A:C,3,FALSE), IFERROR(VLOOKUP(A223,Compartments_Added!A:C,3,FALSE), "Not found"))</f>
        <v>ClothDryingCHETD</v>
      </c>
      <c r="D223" s="95" t="str">
        <f>IFERROR(IF(VLOOKUP(A223,'Compartments_Kawecki&amp;Nowack19'!A:C,1,FALSE)=A223, "Kawecki","what?"),"Added/changed")</f>
        <v>Added/changed</v>
      </c>
      <c r="G223" s="496" t="str">
        <v>Clothing drying CHETD</v>
      </c>
      <c r="H223" s="313" t="str">
        <v>Apparel accessories</v>
      </c>
      <c r="I223" s="501" t="str">
        <v>Clothing drying VTD</v>
      </c>
      <c r="J223" t="str">
        <v>Wall paint (DIY) outdoor (discarded)</v>
      </c>
    </row>
    <row r="224" spans="1:10" ht="15" thickBot="1">
      <c r="A224" s="74" t="str">
        <v>Clothing washer-dryer combo</v>
      </c>
      <c r="B224" s="335" t="str">
        <f>IFERROR(VLOOKUP(A224,'Compartments_Kawecki&amp;Nowack19'!A:C,2,FALSE), IFERROR(VLOOKUP(A224,Compartments_Added!A:C,2,FALSE), "Not found"))</f>
        <v>Flow</v>
      </c>
      <c r="C224" s="335" t="str">
        <f>IFERROR(VLOOKUP(A224,'Compartments_Kawecki&amp;Nowack19'!A:C,3,FALSE), IFERROR(VLOOKUP(A224,Compartments_Added!A:C,3,FALSE), "Not found"))</f>
        <v>ClothingWasherDryerCombo</v>
      </c>
      <c r="D224" s="95" t="str">
        <f>IFERROR(IF(VLOOKUP(A224,'Compartments_Kawecki&amp;Nowack19'!A:C,1,FALSE)=A224, "Kawecki","what?"),"Added/changed")</f>
        <v>Added/changed</v>
      </c>
      <c r="G224" s="496" t="str">
        <v>Clothing washer-dryer combo</v>
      </c>
      <c r="H224" s="313" t="str">
        <v>Boots</v>
      </c>
      <c r="I224" s="501" t="str">
        <v>Clothing drying CHPTD</v>
      </c>
      <c r="J224" t="str">
        <v>Wall paint (DIY) indoor applied (discarded)</v>
      </c>
    </row>
    <row r="225" spans="1:10" ht="15" thickBot="1">
      <c r="A225" s="74" t="str">
        <v>Lint filter (VTD)</v>
      </c>
      <c r="B225" s="335" t="str">
        <f>IFERROR(VLOOKUP(A225,'Compartments_Kawecki&amp;Nowack19'!A:C,2,FALSE), IFERROR(VLOOKUP(A225,Compartments_Added!A:C,2,FALSE), "Not found"))</f>
        <v>Flow</v>
      </c>
      <c r="C225" s="335" t="str">
        <f>IFERROR(VLOOKUP(A225,'Compartments_Kawecki&amp;Nowack19'!A:C,3,FALSE), IFERROR(VLOOKUP(A225,Compartments_Added!A:C,3,FALSE), "Not found"))</f>
        <v>LintFilterVTD</v>
      </c>
      <c r="D225" s="95" t="str">
        <f>IFERROR(IF(VLOOKUP(A225,'Compartments_Kawecki&amp;Nowack19'!A:C,1,FALSE)=A225, "Kawecki","what?"),"Added/changed")</f>
        <v>Added/changed</v>
      </c>
      <c r="G225" s="496" t="str">
        <v>Lint filter (VTD)</v>
      </c>
      <c r="H225" s="313" t="str">
        <v>Closed-toed shoes</v>
      </c>
      <c r="I225" s="501" t="str">
        <v>Clothing drying CHETD</v>
      </c>
      <c r="J225" t="str">
        <v>Plaster (DIY)</v>
      </c>
    </row>
    <row r="226" spans="1:10" ht="15" thickBot="1">
      <c r="A226" s="440" t="str">
        <v>Lint filter (CHPTD)</v>
      </c>
      <c r="B226" s="442" t="str">
        <f>IFERROR(VLOOKUP(A226,'Compartments_Kawecki&amp;Nowack19'!A:C,2,FALSE), IFERROR(VLOOKUP(A226,Compartments_Added!A:C,2,FALSE), "Not found"))</f>
        <v>Flow</v>
      </c>
      <c r="C226" s="442" t="str">
        <f>IFERROR(VLOOKUP(A226,'Compartments_Kawecki&amp;Nowack19'!A:C,3,FALSE), IFERROR(VLOOKUP(A226,Compartments_Added!A:C,3,FALSE), "Not found"))</f>
        <v>LintFilterCHPTD</v>
      </c>
      <c r="D226" s="95" t="str">
        <f>IFERROR(IF(VLOOKUP(A226,'Compartments_Kawecki&amp;Nowack19'!A:C,1,FALSE)=A226, "Kawecki","what?"),"Added/changed")</f>
        <v>Added/changed</v>
      </c>
      <c r="G226" s="496" t="str">
        <v>Lint filter (CHPTD)</v>
      </c>
      <c r="H226" s="313" t="str">
        <v>Dresses skirts and jumpsuits</v>
      </c>
      <c r="I226" s="501" t="str">
        <v>Clothing washer-dryer combo</v>
      </c>
      <c r="J226" t="str">
        <v>Plaster (DIY) outdoor</v>
      </c>
    </row>
    <row r="227" spans="1:10" ht="15" thickBot="1">
      <c r="A227" s="74" t="str">
        <v>Lint filter (CHETD)</v>
      </c>
      <c r="B227" s="335" t="str">
        <f>IFERROR(VLOOKUP(A227,'Compartments_Kawecki&amp;Nowack19'!A:C,2,FALSE), IFERROR(VLOOKUP(A227,Compartments_Added!A:C,2,FALSE), "Not found"))</f>
        <v>Flow</v>
      </c>
      <c r="C227" s="335" t="str">
        <f>IFERROR(VLOOKUP(A227,'Compartments_Kawecki&amp;Nowack19'!A:C,3,FALSE), IFERROR(VLOOKUP(A227,Compartments_Added!A:C,3,FALSE), "Not found"))</f>
        <v>LintFilterCHETD</v>
      </c>
      <c r="D227" s="95" t="str">
        <f>IFERROR(IF(VLOOKUP(A227,'Compartments_Kawecki&amp;Nowack19'!A:C,1,FALSE)=A227, "Kawecki","what?"),"Added/changed")</f>
        <v>Added/changed</v>
      </c>
      <c r="G227" s="496" t="str">
        <v>Lint filter (CHETD)</v>
      </c>
      <c r="H227" s="313" t="str">
        <v>Jackets and coats</v>
      </c>
      <c r="I227" s="501" t="str">
        <v>Lint filter (VTD)</v>
      </c>
      <c r="J227" t="str">
        <v>Plaster (DIY) outdoor (in use)</v>
      </c>
    </row>
    <row r="228" spans="1:10" ht="15" thickBot="1">
      <c r="A228" s="74" t="str">
        <v>Clean lint filter by hand</v>
      </c>
      <c r="B228" s="335" t="str">
        <f>IFERROR(VLOOKUP(A228,'Compartments_Kawecki&amp;Nowack19'!A:C,2,FALSE), IFERROR(VLOOKUP(A228,Compartments_Added!A:C,2,FALSE), "Not found"))</f>
        <v>Flow</v>
      </c>
      <c r="C228" s="335" t="str">
        <f>IFERROR(VLOOKUP(A228,'Compartments_Kawecki&amp;Nowack19'!A:C,3,FALSE), IFERROR(VLOOKUP(A228,Compartments_Added!A:C,3,FALSE), "Not found"))</f>
        <v>CleanByFilterByHand</v>
      </c>
      <c r="D228" s="95" t="str">
        <f>IFERROR(IF(VLOOKUP(A228,'Compartments_Kawecki&amp;Nowack19'!A:C,1,FALSE)=A228, "Kawecki","what?"),"Added/changed")</f>
        <v>Added/changed</v>
      </c>
      <c r="G228" s="496" t="str">
        <v>Clean lint filter by hand</v>
      </c>
      <c r="H228" s="313" t="str">
        <v>Leggings stockings tights and socks</v>
      </c>
      <c r="I228" s="501" t="str">
        <v>Lint filter (CHPTD)</v>
      </c>
      <c r="J228" t="str">
        <v>Plaster (DIY) indoor</v>
      </c>
    </row>
    <row r="229" spans="1:10" ht="15" thickBot="1">
      <c r="A229" s="74" t="str">
        <v>Clean lint filter under running water</v>
      </c>
      <c r="B229" s="335" t="str">
        <f>IFERROR(VLOOKUP(A229,'Compartments_Kawecki&amp;Nowack19'!A:C,2,FALSE), IFERROR(VLOOKUP(A229,Compartments_Added!A:C,2,FALSE), "Not found"))</f>
        <v>Flow</v>
      </c>
      <c r="C229" s="335" t="str">
        <f>IFERROR(VLOOKUP(A229,'Compartments_Kawecki&amp;Nowack19'!A:C,3,FALSE), IFERROR(VLOOKUP(A229,Compartments_Added!A:C,3,FALSE), "Not found"))</f>
        <v>CleanRunningUnderRunningWater</v>
      </c>
      <c r="D229" s="95" t="str">
        <f>IFERROR(IF(VLOOKUP(A229,'Compartments_Kawecki&amp;Nowack19'!A:C,1,FALSE)=A229, "Kawecki","what?"),"Added/changed")</f>
        <v>Added/changed</v>
      </c>
      <c r="G229" s="496" t="str">
        <v>Clean lint filter under running water</v>
      </c>
      <c r="H229" s="313" t="str">
        <v>Open-toed shoes</v>
      </c>
      <c r="I229" s="501" t="str">
        <v>Lint filter (CHETD)</v>
      </c>
      <c r="J229" t="str">
        <v>Plaster (DIY) indoor (in use)</v>
      </c>
    </row>
    <row r="230" spans="1:10" ht="15" thickBot="1">
      <c r="A230" s="74" t="str">
        <v>Footwear wearing (soles)</v>
      </c>
      <c r="B230" s="335" t="str">
        <f>IFERROR(VLOOKUP(A230,'Compartments_Kawecki&amp;Nowack19'!A:C,2,FALSE), IFERROR(VLOOKUP(A230,Compartments_Added!A:C,2,FALSE), "Not found"))</f>
        <v>Flow</v>
      </c>
      <c r="C230" s="335" t="str">
        <f>IFERROR(VLOOKUP(A230,'Compartments_Kawecki&amp;Nowack19'!A:C,3,FALSE), IFERROR(VLOOKUP(A230,Compartments_Added!A:C,3,FALSE), "Not found"))</f>
        <v>FootwearWearingSoles</v>
      </c>
      <c r="D230" s="95" t="str">
        <f>IFERROR(IF(VLOOKUP(A230,'Compartments_Kawecki&amp;Nowack19'!A:C,1,FALSE)=A230, "Kawecki","what?"),"Added/changed")</f>
        <v>Added/changed</v>
      </c>
      <c r="G230" s="313" t="str">
        <v>Footwear wearing (soles)</v>
      </c>
      <c r="H230" s="313" t="str">
        <v>Pants and shorts</v>
      </c>
      <c r="I230" s="501" t="str">
        <v>Clean lint filter by hand</v>
      </c>
      <c r="J230" t="str">
        <v>Plaster (DIY) outdoor (discarded)</v>
      </c>
    </row>
    <row r="231" spans="1:10" ht="15" thickBot="1">
      <c r="A231" s="74" t="str">
        <v>Footwear wearing (uppers)</v>
      </c>
      <c r="B231" s="335" t="str">
        <f>IFERROR(VLOOKUP(A231,'Compartments_Kawecki&amp;Nowack19'!A:C,2,FALSE), IFERROR(VLOOKUP(A231,Compartments_Added!A:C,2,FALSE), "Not found"))</f>
        <v>Flow</v>
      </c>
      <c r="C231" s="335" t="str">
        <f>IFERROR(VLOOKUP(A231,'Compartments_Kawecki&amp;Nowack19'!A:C,3,FALSE), IFERROR(VLOOKUP(A231,Compartments_Added!A:C,3,FALSE), "Not found"))</f>
        <v>FootwearWearingUppers</v>
      </c>
      <c r="D231" s="95" t="str">
        <f>IFERROR(IF(VLOOKUP(A231,'Compartments_Kawecki&amp;Nowack19'!A:C,1,FALSE)=A231, "Kawecki","what?"),"Added/changed")</f>
        <v>Added/changed</v>
      </c>
      <c r="G231" s="313" t="str">
        <v>Footwear wearing (uppers)</v>
      </c>
      <c r="H231" s="313" t="str">
        <v>Shirts and blouses</v>
      </c>
      <c r="I231" s="501" t="str">
        <v>Clean lint filter under running water</v>
      </c>
      <c r="J231" t="str">
        <v>Plaster (DIY) indoor (discarded)</v>
      </c>
    </row>
    <row r="232" spans="1:10" ht="15" thickBot="1">
      <c r="A232" s="74" t="str">
        <v>Manufacturing of clothing</v>
      </c>
      <c r="B232" s="335" t="str">
        <f>IFERROR(VLOOKUP(A232,'Compartments_Kawecki&amp;Nowack19'!A:C,2,FALSE), IFERROR(VLOOKUP(A232,Compartments_Added!A:C,2,FALSE), "Not found"))</f>
        <v>Flow</v>
      </c>
      <c r="C232" s="335" t="str">
        <f>IFERROR(VLOOKUP(A232,'Compartments_Kawecki&amp;Nowack19'!A:C,3,FALSE), IFERROR(VLOOKUP(A232,Compartments_Added!A:C,3,FALSE), "Not found"))</f>
        <v>ManufacturingOfClothing</v>
      </c>
      <c r="D232" s="95" t="str">
        <f>IFERROR(IF(VLOOKUP(A232,'Compartments_Kawecki&amp;Nowack19'!A:C,1,FALSE)=A232, "Kawecki","what?"),"Added/changed")</f>
        <v>Added/changed</v>
      </c>
      <c r="G232" s="313" t="str">
        <v>Import of clothing (Global)</v>
      </c>
      <c r="H232" s="313" t="str">
        <v>Sweaters and midlayers</v>
      </c>
      <c r="I232" s="501" t="str">
        <v>Footwear wearing (soles)</v>
      </c>
      <c r="J232" t="str">
        <v>Other paint uses (DIY)</v>
      </c>
    </row>
    <row r="233" spans="1:10" ht="15" thickBot="1">
      <c r="A233" s="74" t="str">
        <v>Import of plastic sheets</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ImportPlasticSheets</v>
      </c>
      <c r="D233" s="95" t="str">
        <f>IFERROR(IF(VLOOKUP(A233,'Compartments_Kawecki&amp;Nowack19'!A:C,1,FALSE)=A233, "Kawecki","what?"),"Added/changed")</f>
        <v>Added/changed</v>
      </c>
      <c r="G233" s="313" t="str">
        <v>Manufacturing of clothing</v>
      </c>
      <c r="H233" s="313" t="str">
        <v>Swimwear</v>
      </c>
      <c r="I233" s="501" t="str">
        <v>Footwear wearing (uppers)</v>
      </c>
      <c r="J233" t="str">
        <v>Other paint uses (DIY) outdoor</v>
      </c>
    </row>
    <row r="234" spans="1:10" ht="15" thickBot="1">
      <c r="A234" s="74" t="str">
        <v>Import of yarn</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ImportYarn</v>
      </c>
      <c r="D234" s="95" t="str">
        <f>IFERROR(IF(VLOOKUP(A234,'Compartments_Kawecki&amp;Nowack19'!A:C,1,FALSE)=A234, "Kawecki","what?"),"Added/changed")</f>
        <v>Added/changed</v>
      </c>
      <c r="G234" s="313" t="str">
        <v>Import of plastic sheets</v>
      </c>
      <c r="H234" s="313" t="str">
        <v>T-shirts</v>
      </c>
      <c r="I234" s="501" t="str">
        <v>Manufacturing of clothing</v>
      </c>
      <c r="J234" t="str">
        <v>Other paint uses (DIY) outdoor (in use)</v>
      </c>
    </row>
    <row r="235" spans="1:10" ht="15" thickBot="1">
      <c r="A235" s="74" t="str">
        <v>Clothing waste collection</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ClothingWasteCollection</v>
      </c>
      <c r="D235" s="95" t="str">
        <f>IFERROR(IF(VLOOKUP(A235,'Compartments_Kawecki&amp;Nowack19'!A:C,1,FALSE)=A235, "Kawecki","what?"),"Added/changed")</f>
        <v>Added/changed</v>
      </c>
      <c r="G235" s="313" t="str">
        <v>Import of yarn</v>
      </c>
      <c r="H235" s="313" t="str">
        <v>Underwear</v>
      </c>
      <c r="I235" s="501" t="str">
        <v>Import of plastic sheets</v>
      </c>
      <c r="J235" t="str">
        <v>Other paint uses (DIY) indoor</v>
      </c>
    </row>
    <row r="236" spans="1:10" ht="15" thickBot="1">
      <c r="A236" s="324" t="str">
        <v>Home textile waste collection</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HomeTextileWasteCollection</v>
      </c>
      <c r="D236" s="95" t="str">
        <f>IFERROR(IF(VLOOKUP(A236,'Compartments_Kawecki&amp;Nowack19'!A:C,1,FALSE)=A236, "Kawecki","what?"),"Added/changed")</f>
        <v>Added/changed</v>
      </c>
      <c r="G236" s="313" t="str">
        <v>Clothing waste collection</v>
      </c>
      <c r="H236" s="313" t="str">
        <v>Clothing washing machine (with external filter)</v>
      </c>
      <c r="I236" s="501" t="str">
        <v>Import of yarn</v>
      </c>
      <c r="J236" t="str">
        <v>Other paint uses (DIY) indoor (in use)</v>
      </c>
    </row>
    <row r="237" spans="1:10" ht="15" thickBot="1">
      <c r="A237" s="74" t="str">
        <v>Technical textile waste collection</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TechnicalTextileWasteCollection</v>
      </c>
      <c r="D237" s="95" t="str">
        <f>IFERROR(IF(VLOOKUP(A237,'Compartments_Kawecki&amp;Nowack19'!A:C,1,FALSE)=A237, "Kawecki","what?"),"Added/changed")</f>
        <v>Added/changed</v>
      </c>
      <c r="G237" s="313" t="str">
        <v>Home textile waste collection</v>
      </c>
      <c r="H237" s="313" t="str">
        <v>Clothing washing machine (without external filter)</v>
      </c>
      <c r="I237" s="501" t="str">
        <v>Clothing waste collection</v>
      </c>
      <c r="J237" t="str">
        <v>Other paint uses (DIY) outdoor (discarded)</v>
      </c>
    </row>
    <row r="238" spans="1:10" ht="15" thickBot="1">
      <c r="A238" s="74" t="str">
        <v>Footwear waste collection</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FootwearWasteCollection</v>
      </c>
      <c r="D238" s="95" t="str">
        <f>IFERROR(IF(VLOOKUP(A238,'Compartments_Kawecki&amp;Nowack19'!A:C,1,FALSE)=A238, "Kawecki","what?"),"Added/changed")</f>
        <v>Added/changed</v>
      </c>
      <c r="G238" s="313" t="str">
        <v>Technical textile waste collection</v>
      </c>
      <c r="H238" s="313" t="str">
        <v>Clothing washing by hand</v>
      </c>
      <c r="I238" s="501" t="str">
        <v>Home textile waste collection</v>
      </c>
      <c r="J238" t="str">
        <v>Other paint uses (DIY) indoor (discarded)</v>
      </c>
    </row>
    <row r="239" spans="1:10" ht="15" thickBot="1">
      <c r="A239" s="74" t="str">
        <v>Apparel accessories</v>
      </c>
      <c r="B239" s="335" t="str">
        <f>IFERROR(VLOOKUP(A239,'Compartments_Kawecki&amp;Nowack19'!A:C,2,FALSE), IFERROR(VLOOKUP(A239,Compartments_Added!A:C,2,FALSE), "Not found"))</f>
        <v>Stock</v>
      </c>
      <c r="C239" s="335" t="str">
        <f>IFERROR(VLOOKUP(A239,'Compartments_Kawecki&amp;Nowack19'!A:C,3,FALSE), IFERROR(VLOOKUP(A239,Compartments_Added!A:C,3,FALSE), "Not found"))</f>
        <v>ApparelAccessories</v>
      </c>
      <c r="D239" s="95" t="str">
        <f>IFERROR(IF(VLOOKUP(A239,'Compartments_Kawecki&amp;Nowack19'!A:C,1,FALSE)=A239, "Kawecki","what?"),"Added/changed")</f>
        <v>Added/changed</v>
      </c>
      <c r="G239" s="313" t="str">
        <v>Footwear waste collection</v>
      </c>
      <c r="H239" s="313" t="str">
        <v>Clothing indoor drying</v>
      </c>
      <c r="I239" s="501" t="str">
        <v>Technical textile waste collection</v>
      </c>
      <c r="J239" t="str">
        <v>Import of clothing (EU)</v>
      </c>
    </row>
    <row r="240" spans="1:10" ht="15" thickBot="1">
      <c r="A240" s="74" t="str">
        <v>Jackets and coats</v>
      </c>
      <c r="B240" s="335" t="str">
        <f>IFERROR(VLOOKUP(A240,'Compartments_Kawecki&amp;Nowack19'!A:C,2,FALSE), IFERROR(VLOOKUP(A240,Compartments_Added!A:C,2,FALSE), "Not found"))</f>
        <v>Stock</v>
      </c>
      <c r="C240" s="335" t="str">
        <f>IFERROR(VLOOKUP(A240,'Compartments_Kawecki&amp;Nowack19'!A:C,3,FALSE), IFERROR(VLOOKUP(A240,Compartments_Added!A:C,3,FALSE), "Not found"))</f>
        <v>JacketsCoats</v>
      </c>
      <c r="D240" s="95" t="str">
        <f>IFERROR(IF(VLOOKUP(A240,'Compartments_Kawecki&amp;Nowack19'!A:C,1,FALSE)=A240, "Kawecki","what?"),"Added/changed")</f>
        <v>Added/changed</v>
      </c>
      <c r="G240" s="313" t="str">
        <v>Apparel accessories</v>
      </c>
      <c r="H240" s="313" t="str">
        <v>Clothing outdoor drying</v>
      </c>
      <c r="I240" s="501" t="str">
        <v>Footwear waste collection</v>
      </c>
      <c r="J240" t="str">
        <v>Clothing (product sector)</v>
      </c>
    </row>
    <row r="241" spans="1:10" ht="15" thickBot="1">
      <c r="A241" s="74" t="str">
        <v>Dresses skirts and jumpsuits</v>
      </c>
      <c r="B241" s="335" t="str">
        <f>IFERROR(VLOOKUP(A241,'Compartments_Kawecki&amp;Nowack19'!A:C,2,FALSE), IFERROR(VLOOKUP(A241,Compartments_Added!A:C,2,FALSE), "Not found"))</f>
        <v>Stock</v>
      </c>
      <c r="C241" s="335" t="str">
        <f>IFERROR(VLOOKUP(A241,'Compartments_Kawecki&amp;Nowack19'!A:C,3,FALSE), IFERROR(VLOOKUP(A241,Compartments_Added!A:C,3,FALSE), "Not found"))</f>
        <v>DressesSkirtsJumpsuits</v>
      </c>
      <c r="D241" s="95" t="str">
        <f>IFERROR(IF(VLOOKUP(A241,'Compartments_Kawecki&amp;Nowack19'!A:C,1,FALSE)=A241, "Kawecki","what?"),"Added/changed")</f>
        <v>Added/changed</v>
      </c>
      <c r="G241" s="313" t="str">
        <v>Jackets and coats</v>
      </c>
      <c r="H241" s="313" t="str">
        <v>Clothing drying VTD</v>
      </c>
      <c r="I241" s="501" t="str">
        <v>Apparel accessories</v>
      </c>
      <c r="J241" t="str">
        <v>Clothing washing</v>
      </c>
    </row>
    <row r="242" spans="1:10" ht="15" thickBot="1">
      <c r="A242" s="74" t="str">
        <v>Leggings stockings tights and socks</v>
      </c>
      <c r="B242" s="335" t="str">
        <f>IFERROR(VLOOKUP(A242,'Compartments_Kawecki&amp;Nowack19'!A:C,2,FALSE), IFERROR(VLOOKUP(A242,Compartments_Added!A:C,2,FALSE), "Not found"))</f>
        <v>Stock</v>
      </c>
      <c r="C242" s="335" t="str">
        <f>IFERROR(VLOOKUP(A242,'Compartments_Kawecki&amp;Nowack19'!A:C,3,FALSE), IFERROR(VLOOKUP(A242,Compartments_Added!A:C,3,FALSE), "Not found"))</f>
        <v>LeggingsStockingsTightsSocks</v>
      </c>
      <c r="D242" s="95" t="str">
        <f>IFERROR(IF(VLOOKUP(A242,'Compartments_Kawecki&amp;Nowack19'!A:C,1,FALSE)=A242, "Kawecki","what?"),"Added/changed")</f>
        <v>Added/changed</v>
      </c>
      <c r="G242" s="313" t="str">
        <v>Dresses skirts and jumpsuits</v>
      </c>
      <c r="H242" s="313" t="str">
        <v>Clothing drying CHPTD</v>
      </c>
      <c r="I242" s="501" t="str">
        <v>Jackets and coats</v>
      </c>
      <c r="J242" t="str">
        <v>Clothing washing machine (with external filter)</v>
      </c>
    </row>
    <row r="243" spans="1:10" ht="15" thickBot="1">
      <c r="A243" s="74" t="str">
        <v>Pants and shorts</v>
      </c>
      <c r="B243" s="335" t="str">
        <f>IFERROR(VLOOKUP(A243,'Compartments_Kawecki&amp;Nowack19'!A:C,2,FALSE), IFERROR(VLOOKUP(A243,Compartments_Added!A:C,2,FALSE), "Not found"))</f>
        <v>Stock</v>
      </c>
      <c r="C243" s="335" t="str">
        <f>IFERROR(VLOOKUP(A243,'Compartments_Kawecki&amp;Nowack19'!A:C,3,FALSE), IFERROR(VLOOKUP(A243,Compartments_Added!A:C,3,FALSE), "Not found"))</f>
        <v>PantsShorts</v>
      </c>
      <c r="D243" s="95" t="str">
        <f>IFERROR(IF(VLOOKUP(A243,'Compartments_Kawecki&amp;Nowack19'!A:C,1,FALSE)=A243, "Kawecki","what?"),"Added/changed")</f>
        <v>Added/changed</v>
      </c>
      <c r="G243" s="313" t="str">
        <v>Leggings stockings tights and socks</v>
      </c>
      <c r="H243" s="313" t="str">
        <v>Clothing drying CHETD</v>
      </c>
      <c r="I243" s="501" t="str">
        <v>Dresses skirts and jumpsuits</v>
      </c>
      <c r="J243" t="str">
        <v>Clothing washing machine (without external filter)</v>
      </c>
    </row>
    <row r="244" spans="1:10" ht="15" thickBot="1">
      <c r="A244" s="74" t="str">
        <v>Shirts and blouses</v>
      </c>
      <c r="B244" s="335" t="str">
        <f>IFERROR(VLOOKUP(A244,'Compartments_Kawecki&amp;Nowack19'!A:C,2,FALSE), IFERROR(VLOOKUP(A244,Compartments_Added!A:C,2,FALSE), "Not found"))</f>
        <v>Stock</v>
      </c>
      <c r="C244" s="335" t="str">
        <f>IFERROR(VLOOKUP(A244,'Compartments_Kawecki&amp;Nowack19'!A:C,3,FALSE), IFERROR(VLOOKUP(A244,Compartments_Added!A:C,3,FALSE), "Not found"))</f>
        <v>ShirtsBlouses</v>
      </c>
      <c r="D244" s="95" t="str">
        <f>IFERROR(IF(VLOOKUP(A244,'Compartments_Kawecki&amp;Nowack19'!A:C,1,FALSE)=A244, "Kawecki","what?"),"Added/changed")</f>
        <v>Added/changed</v>
      </c>
      <c r="G244" s="313" t="str">
        <v>Pants and shorts</v>
      </c>
      <c r="H244" s="313" t="str">
        <v>Clothing washer-dryer combo</v>
      </c>
      <c r="I244" s="501" t="str">
        <v>Leggings stockings tights and socks</v>
      </c>
      <c r="J244" t="str">
        <v>Clothing washing by hand</v>
      </c>
    </row>
    <row r="245" spans="1:10" ht="15" thickBot="1">
      <c r="A245" s="74" t="str">
        <v>Sweaters and midlayers</v>
      </c>
      <c r="B245" s="335" t="str">
        <f>IFERROR(VLOOKUP(A245,'Compartments_Kawecki&amp;Nowack19'!A:C,2,FALSE), IFERROR(VLOOKUP(A245,Compartments_Added!A:C,2,FALSE), "Not found"))</f>
        <v>Stock</v>
      </c>
      <c r="C245" s="335" t="str">
        <f>IFERROR(VLOOKUP(A245,'Compartments_Kawecki&amp;Nowack19'!A:C,3,FALSE), IFERROR(VLOOKUP(A245,Compartments_Added!A:C,3,FALSE), "Not found"))</f>
        <v>SweatersMidlayers</v>
      </c>
      <c r="D245" s="95" t="str">
        <f>IFERROR(IF(VLOOKUP(A245,'Compartments_Kawecki&amp;Nowack19'!A:C,1,FALSE)=A245, "Kawecki","what?"),"Added/changed")</f>
        <v>Added/changed</v>
      </c>
      <c r="G245" s="313" t="str">
        <v>Shirts and blouses</v>
      </c>
      <c r="H245" s="313" t="str">
        <v>Lint filter (VTD)</v>
      </c>
      <c r="I245" s="501" t="str">
        <v>Pants and shorts</v>
      </c>
      <c r="J245" t="str">
        <v>Clothing wearing</v>
      </c>
    </row>
    <row r="246" spans="1:10" ht="15" thickBot="1">
      <c r="A246" s="74" t="str">
        <v>Swimwear</v>
      </c>
      <c r="B246" s="335" t="str">
        <f>IFERROR(VLOOKUP(A246,'Compartments_Kawecki&amp;Nowack19'!A:C,2,FALSE), IFERROR(VLOOKUP(A246,Compartments_Added!A:C,2,FALSE), "Not found"))</f>
        <v>Stock</v>
      </c>
      <c r="C246" s="335" t="str">
        <f>IFERROR(VLOOKUP(A246,'Compartments_Kawecki&amp;Nowack19'!A:C,3,FALSE), IFERROR(VLOOKUP(A246,Compartments_Added!A:C,3,FALSE), "Not found"))</f>
        <v>Swimwear</v>
      </c>
      <c r="D246" s="95" t="str">
        <f>IFERROR(IF(VLOOKUP(A246,'Compartments_Kawecki&amp;Nowack19'!A:C,1,FALSE)=A246, "Kawecki","what?"),"Added/changed")</f>
        <v>Added/changed</v>
      </c>
      <c r="G246" s="313" t="str">
        <v>Sweaters and midlayers</v>
      </c>
      <c r="H246" s="313" t="str">
        <v>Lint filter (CHPTD)</v>
      </c>
      <c r="I246" s="501" t="str">
        <v>Shirts and blouses</v>
      </c>
      <c r="J246" t="str">
        <v>Clothing drying</v>
      </c>
    </row>
    <row r="247" spans="1:10" ht="15" thickBot="1">
      <c r="A247" s="74" t="str">
        <v>T-shirts</v>
      </c>
      <c r="B247" s="335" t="str">
        <f>IFERROR(VLOOKUP(A247,'Compartments_Kawecki&amp;Nowack19'!A:C,2,FALSE), IFERROR(VLOOKUP(A247,Compartments_Added!A:C,2,FALSE), "Not found"))</f>
        <v>Stock</v>
      </c>
      <c r="C247" s="335" t="str">
        <f>IFERROR(VLOOKUP(A247,'Compartments_Kawecki&amp;Nowack19'!A:C,3,FALSE), IFERROR(VLOOKUP(A247,Compartments_Added!A:C,3,FALSE), "Not found"))</f>
        <v>Tshirts</v>
      </c>
      <c r="D247" s="95" t="str">
        <f>IFERROR(IF(VLOOKUP(A247,'Compartments_Kawecki&amp;Nowack19'!A:C,1,FALSE)=A247, "Kawecki","what?"),"Added/changed")</f>
        <v>Added/changed</v>
      </c>
      <c r="G247" s="313" t="str">
        <v>Swimwear</v>
      </c>
      <c r="H247" s="313" t="str">
        <v>Lint filter (CHETD)</v>
      </c>
      <c r="I247" s="501" t="str">
        <v>Sweaters and midlayers</v>
      </c>
      <c r="J247" t="str">
        <v>Clothing indoor drying</v>
      </c>
    </row>
    <row r="248" spans="1:10" ht="15" thickBot="1">
      <c r="A248" s="612" t="str">
        <v>Underwear</v>
      </c>
      <c r="B248" s="310" t="str">
        <f>IFERROR(VLOOKUP(A248,'Compartments_Kawecki&amp;Nowack19'!A:C,2,FALSE), IFERROR(VLOOKUP(A248,Compartments_Added!A:C,2,FALSE), "Not found"))</f>
        <v>Stock</v>
      </c>
      <c r="C248" s="310" t="str">
        <f>IFERROR(VLOOKUP(A248,'Compartments_Kawecki&amp;Nowack19'!A:C,3,FALSE), IFERROR(VLOOKUP(A248,Compartments_Added!A:C,3,FALSE), "Not found"))</f>
        <v>Underwear</v>
      </c>
      <c r="D248" s="95" t="str">
        <f>IFERROR(IF(VLOOKUP(A248,'Compartments_Kawecki&amp;Nowack19'!A:C,1,FALSE)=A248, "Kawecki","what?"),"Added/changed")</f>
        <v>Added/changed</v>
      </c>
      <c r="G248" s="313" t="str">
        <v>T-shirts</v>
      </c>
      <c r="H248" s="313" t="str">
        <v>Clean lint filter by hand</v>
      </c>
      <c r="I248" s="501" t="str">
        <v>Swimwear</v>
      </c>
      <c r="J248" t="str">
        <v>Clothing outdoor drying</v>
      </c>
    </row>
    <row r="249" spans="1:10" ht="15" thickBot="1">
      <c r="A249" s="612" t="str">
        <v>Clothing washed (in use)</v>
      </c>
      <c r="B249" s="310" t="str">
        <f>IFERROR(VLOOKUP(A249,'Compartments_Kawecki&amp;Nowack19'!A:C,2,FALSE), IFERROR(VLOOKUP(A249,Compartments_Added!A:C,2,FALSE), "Not found"))</f>
        <v>Flow</v>
      </c>
      <c r="C249" s="310" t="str">
        <f>IFERROR(VLOOKUP(A249,'Compartments_Kawecki&amp;Nowack19'!A:C,3,FALSE), IFERROR(VLOOKUP(A249,Compartments_Added!A:C,3,FALSE), "Not found"))</f>
        <v>ClothingWashedInUse</v>
      </c>
      <c r="D249" s="95" t="str">
        <f>IFERROR(IF(VLOOKUP(A249,'Compartments_Kawecki&amp;Nowack19'!A:C,1,FALSE)=A249, "Kawecki","what?"),"Added/changed")</f>
        <v>Added/changed</v>
      </c>
      <c r="G249" s="313" t="str">
        <v>Underwear</v>
      </c>
      <c r="H249" s="313" t="str">
        <v>Clean lint filter under running water</v>
      </c>
      <c r="I249" s="501" t="str">
        <v>T-shirts</v>
      </c>
      <c r="J249" t="str">
        <v>Clothing drying VTD</v>
      </c>
    </row>
    <row r="250" spans="1:10" ht="15" thickBot="1">
      <c r="A250" s="612" t="str">
        <v>Clothing washed (discarded)</v>
      </c>
      <c r="B250" s="310" t="str">
        <f>IFERROR(VLOOKUP(A250,'Compartments_Kawecki&amp;Nowack19'!A:C,2,FALSE), IFERROR(VLOOKUP(A250,Compartments_Added!A:C,2,FALSE), "Not found"))</f>
        <v>Flow</v>
      </c>
      <c r="C250" s="310" t="str">
        <f>IFERROR(VLOOKUP(A250,'Compartments_Kawecki&amp;Nowack19'!A:C,3,FALSE), IFERROR(VLOOKUP(A250,Compartments_Added!A:C,3,FALSE), "Not found"))</f>
        <v>ClothingWashedDiscarded</v>
      </c>
      <c r="D250" s="95" t="str">
        <f>IFERROR(IF(VLOOKUP(A250,'Compartments_Kawecki&amp;Nowack19'!A:C,1,FALSE)=A250, "Kawecki","what?"),"Added/changed")</f>
        <v>Added/changed</v>
      </c>
      <c r="G250" s="313" t="str">
        <v>Clothing washed (in use)</v>
      </c>
      <c r="H250" s="313" t="str">
        <v>Manufacturing of clothing</v>
      </c>
      <c r="I250" s="501" t="str">
        <v>Underwear</v>
      </c>
      <c r="J250" t="str">
        <v>Clothing drying CHPTD</v>
      </c>
    </row>
    <row r="251" spans="1:10" ht="15" thickBot="1">
      <c r="A251" s="915" t="str">
        <v>Clothing rarely washed (in use)</v>
      </c>
      <c r="B251" s="916" t="str">
        <f>IFERROR(VLOOKUP(A251,'Compartments_Kawecki&amp;Nowack19'!A:C,2,FALSE), IFERROR(VLOOKUP(A251,Compartments_Added!A:C,2,FALSE), "Not found"))</f>
        <v>Flow</v>
      </c>
      <c r="C251" s="916" t="str">
        <f>IFERROR(VLOOKUP(A251,'Compartments_Kawecki&amp;Nowack19'!A:C,3,FALSE), IFERROR(VLOOKUP(A251,Compartments_Added!A:C,3,FALSE), "Not found"))</f>
        <v>ClothingRarelyWashedInUse</v>
      </c>
      <c r="D251" s="917" t="str">
        <f>IFERROR(IF(VLOOKUP(A251,'Compartments_Kawecki&amp;Nowack19'!A:C,1,FALSE)=A251, "Kawecki","what?"),"Added/changed")</f>
        <v>Added/changed</v>
      </c>
      <c r="G251" s="313" t="str">
        <v>Clothing washed (discarded)</v>
      </c>
      <c r="H251" s="313" t="str">
        <v>Textile recycling</v>
      </c>
      <c r="I251" s="501" t="str">
        <v>Clothing washed (in use)</v>
      </c>
      <c r="J251" t="str">
        <v>Clothing drying CHETD</v>
      </c>
    </row>
    <row r="252" spans="1:10" ht="15" thickBot="1">
      <c r="A252" s="612" t="str">
        <v>Clothing rarely washed (discarded)</v>
      </c>
      <c r="B252" s="310" t="str">
        <f>IFERROR(VLOOKUP(A252,'Compartments_Kawecki&amp;Nowack19'!A:C,2,FALSE), IFERROR(VLOOKUP(A252,Compartments_Added!A:C,2,FALSE), "Not found"))</f>
        <v>Flow</v>
      </c>
      <c r="C252" s="310" t="str">
        <f>IFERROR(VLOOKUP(A252,'Compartments_Kawecki&amp;Nowack19'!A:C,3,FALSE), IFERROR(VLOOKUP(A252,Compartments_Added!A:C,3,FALSE), "Not found"))</f>
        <v>ClothingRarelyWashedDiscarded</v>
      </c>
      <c r="D252" s="224" t="str">
        <f>IFERROR(IF(VLOOKUP(A252,'Compartments_Kawecki&amp;Nowack19'!A:C,1,FALSE)=A252, "Kawecki","what?"),"Added/changed")</f>
        <v>Added/changed</v>
      </c>
      <c r="G252" s="313" t="str">
        <v>Clothing rarely washed (in use)</v>
      </c>
      <c r="H252" s="313" t="str">
        <v>Home textile waste collection</v>
      </c>
      <c r="I252" s="501" t="str">
        <v>Clothing washed (discarded)</v>
      </c>
      <c r="J252" t="str">
        <v>Clothing washer-dryer combo</v>
      </c>
    </row>
    <row r="253" spans="1:10" ht="15" thickBot="1">
      <c r="A253" s="612" t="str">
        <v>Clothing not washed (in use)</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ClothingNotWashedInUse</v>
      </c>
      <c r="D253" s="224" t="str">
        <f>IFERROR(IF(VLOOKUP(A253,'Compartments_Kawecki&amp;Nowack19'!A:C,1,FALSE)=A253, "Kawecki","what?"),"Added/changed")</f>
        <v>Added/changed</v>
      </c>
      <c r="G253" s="313" t="str">
        <v>Clothing rarely washed (discarded)</v>
      </c>
      <c r="H253" s="313" t="str">
        <v>Technical textile waste collection</v>
      </c>
      <c r="I253" s="501" t="str">
        <v>Clothing rarely washed (in use)</v>
      </c>
      <c r="J253" t="str">
        <v>Lint filter (VTD)</v>
      </c>
    </row>
    <row r="254" spans="1:10" ht="15" thickBot="1">
      <c r="A254" s="612" t="str">
        <v>Clothing not washed (discarded)</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ClothingNotWashedDiscarded</v>
      </c>
      <c r="D254" s="224" t="str">
        <f>IFERROR(IF(VLOOKUP(A254,'Compartments_Kawecki&amp;Nowack19'!A:C,1,FALSE)=A254, "Kawecki","what?"),"Added/changed")</f>
        <v>Added/changed</v>
      </c>
      <c r="G254" s="313" t="str">
        <v>Clothing not washed (in use)</v>
      </c>
      <c r="H254" s="313" t="str">
        <v>Textile reuse</v>
      </c>
      <c r="I254" s="501" t="str">
        <v>Clothing rarely washed (discarded)</v>
      </c>
      <c r="J254" t="str">
        <v>Lint filter (CHPTD)</v>
      </c>
    </row>
    <row r="255" spans="1:10" ht="15" thickBot="1">
      <c r="A255" s="612" t="str">
        <v>Boots</v>
      </c>
      <c r="B255" s="310" t="str">
        <f>IFERROR(VLOOKUP(A255,'Compartments_Kawecki&amp;Nowack19'!A:C,2,FALSE), IFERROR(VLOOKUP(A255,Compartments_Added!A:C,2,FALSE), "Not found"))</f>
        <v>Stock</v>
      </c>
      <c r="C255" s="310" t="str">
        <f>IFERROR(VLOOKUP(A255,'Compartments_Kawecki&amp;Nowack19'!A:C,3,FALSE), IFERROR(VLOOKUP(A255,Compartments_Added!A:C,3,FALSE), "Not found"))</f>
        <v>Boots</v>
      </c>
      <c r="D255" s="224" t="str">
        <f>IFERROR(IF(VLOOKUP(A255,'Compartments_Kawecki&amp;Nowack19'!A:C,1,FALSE)=A255, "Kawecki","what?"),"Added/changed")</f>
        <v>Added/changed</v>
      </c>
      <c r="G255" s="436" t="str">
        <v>Clothing not washed (discarded)</v>
      </c>
      <c r="H255" s="313" t="str">
        <v>Footwear reuse</v>
      </c>
      <c r="I255" s="501" t="str">
        <v>Clothing not washed (in use)</v>
      </c>
      <c r="J255" t="str">
        <v>Lint filter (CHETD)</v>
      </c>
    </row>
    <row r="256" spans="1:10" ht="15" thickBot="1">
      <c r="A256" s="612" t="str">
        <v>Closed-toed shoes</v>
      </c>
      <c r="B256" s="310" t="str">
        <f>IFERROR(VLOOKUP(A256,'Compartments_Kawecki&amp;Nowack19'!A:C,2,FALSE), IFERROR(VLOOKUP(A256,Compartments_Added!A:C,2,FALSE), "Not found"))</f>
        <v>Stock</v>
      </c>
      <c r="C256" s="310" t="str">
        <f>IFERROR(VLOOKUP(A256,'Compartments_Kawecki&amp;Nowack19'!A:C,3,FALSE), IFERROR(VLOOKUP(A256,Compartments_Added!A:C,3,FALSE), "Not found"))</f>
        <v>CloseToedShoes</v>
      </c>
      <c r="D256" s="224" t="str">
        <f>IFERROR(IF(VLOOKUP(A256,'Compartments_Kawecki&amp;Nowack19'!A:C,1,FALSE)=A256, "Kawecki","what?"),"Added/changed")</f>
        <v>Added/changed</v>
      </c>
      <c r="G256" s="436" t="str">
        <v>Boots</v>
      </c>
      <c r="H256" s="313" t="str">
        <v>Clothing not washed (in use)</v>
      </c>
      <c r="I256" s="501" t="str">
        <v>Clothing not washed (discarded)</v>
      </c>
      <c r="J256" t="str">
        <v>Clean lint filter by hand</v>
      </c>
    </row>
    <row r="257" spans="1:10" ht="15" thickBot="1">
      <c r="A257" s="612" t="str">
        <v>Open-toed shoes</v>
      </c>
      <c r="B257" s="310" t="str">
        <f>IFERROR(VLOOKUP(A257,'Compartments_Kawecki&amp;Nowack19'!A:C,2,FALSE), IFERROR(VLOOKUP(A257,Compartments_Added!A:C,2,FALSE), "Not found"))</f>
        <v>Stock</v>
      </c>
      <c r="C257" s="310" t="str">
        <f>IFERROR(VLOOKUP(A257,'Compartments_Kawecki&amp;Nowack19'!A:C,3,FALSE), IFERROR(VLOOKUP(A257,Compartments_Added!A:C,3,FALSE), "Not found"))</f>
        <v>OpenToedShoes</v>
      </c>
      <c r="D257" s="224" t="str">
        <f>IFERROR(IF(VLOOKUP(A257,'Compartments_Kawecki&amp;Nowack19'!A:C,1,FALSE)=A257, "Kawecki","what?"),"Added/changed")</f>
        <v>Added/changed</v>
      </c>
      <c r="G257" s="436" t="str">
        <v>Closed-toed shoes</v>
      </c>
      <c r="H257" s="313" t="str">
        <v>Clothing not washed (discarded)</v>
      </c>
      <c r="I257" s="501" t="str">
        <v>Boots</v>
      </c>
      <c r="J257" t="str">
        <v>Clean lint filter under running water</v>
      </c>
    </row>
    <row r="258" spans="1:10" ht="15" thickBot="1">
      <c r="A258" s="612" t="str">
        <v>Wastewater (micro)</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WasteWaterMicro</v>
      </c>
      <c r="D258" s="224" t="str">
        <f>IFERROR(IF(VLOOKUP(A258,'Compartments_Kawecki&amp;Nowack19'!A:C,1,FALSE)=A258, "Kawecki","what?"),"Added/changed")</f>
        <v>Kawecki</v>
      </c>
      <c r="G258" s="436" t="str">
        <v>Open-toed shoes</v>
      </c>
      <c r="H258" s="313" t="str">
        <v>Clothing rarely washed (in use)</v>
      </c>
      <c r="I258" s="501" t="str">
        <v>Closed-toed shoes</v>
      </c>
      <c r="J258" t="str">
        <v>Footwear wearing (soles)</v>
      </c>
    </row>
    <row r="259" spans="1:10" ht="15" thickBot="1">
      <c r="A259" s="612" t="str">
        <v>Primary water treatment (micro)</v>
      </c>
      <c r="B259" s="310" t="str">
        <f>IFERROR(VLOOKUP(A259,'Compartments_Kawecki&amp;Nowack19'!A:C,2,FALSE), IFERROR(VLOOKUP(A259,Compartments_Added!A:C,2,FALSE), "Not found"))</f>
        <v>Flow</v>
      </c>
      <c r="C259" s="310" t="str">
        <f>IFERROR(VLOOKUP(A259,'Compartments_Kawecki&amp;Nowack19'!A:C,3,FALSE), IFERROR(VLOOKUP(A259,Compartments_Added!A:C,3,FALSE), "Not found"))</f>
        <v>WWTPrimaryMicro</v>
      </c>
      <c r="D259" s="224" t="str">
        <f>IFERROR(IF(VLOOKUP(A259,'Compartments_Kawecki&amp;Nowack19'!A:C,1,FALSE)=A259, "Kawecki","what?"),"Added/changed")</f>
        <v>Kawecki</v>
      </c>
      <c r="G259" s="436" t="str">
        <v>Wastewater (micro)</v>
      </c>
      <c r="H259" s="313" t="str">
        <v>Clothing rarely washed (discarded)</v>
      </c>
      <c r="I259" s="501" t="str">
        <v>Open-toed shoes</v>
      </c>
      <c r="J259" t="str">
        <v>Footwear wearing (uppers)</v>
      </c>
    </row>
    <row r="260" spans="1:10" ht="15" thickBot="1">
      <c r="A260" s="612" t="str">
        <v>Secondary water treatment (micro)</v>
      </c>
      <c r="B260" s="310" t="str">
        <f>IFERROR(VLOOKUP(A260,'Compartments_Kawecki&amp;Nowack19'!A:C,2,FALSE), IFERROR(VLOOKUP(A260,Compartments_Added!A:C,2,FALSE), "Not found"))</f>
        <v>Flow</v>
      </c>
      <c r="C260" s="310" t="str">
        <f>IFERROR(VLOOKUP(A260,'Compartments_Kawecki&amp;Nowack19'!A:C,3,FALSE), IFERROR(VLOOKUP(A260,Compartments_Added!A:C,3,FALSE), "Not found"))</f>
        <v>WWTSecondaryMicro</v>
      </c>
      <c r="D260" s="224" t="str">
        <f>IFERROR(IF(VLOOKUP(A260,'Compartments_Kawecki&amp;Nowack19'!A:C,1,FALSE)=A260, "Kawecki","what?"),"Added/changed")</f>
        <v>Kawecki</v>
      </c>
      <c r="G260" s="436" t="str">
        <v>Primary water treatment (micro)</v>
      </c>
      <c r="H260" s="313" t="str">
        <v>Clothing washed (in use)</v>
      </c>
      <c r="I260" s="501" t="str">
        <v>Wastewater (micro)</v>
      </c>
      <c r="J260" t="str">
        <v>Import of clothing (Global)</v>
      </c>
    </row>
    <row r="261" spans="1:10" ht="15" thickBot="1">
      <c r="A261" s="612" t="str">
        <v>Tertiary water treatment (micro)</v>
      </c>
      <c r="B261" s="310" t="str">
        <f>IFERROR(VLOOKUP(A261,'Compartments_Kawecki&amp;Nowack19'!A:C,2,FALSE), IFERROR(VLOOKUP(A261,Compartments_Added!A:C,2,FALSE), "Not found"))</f>
        <v>Flow</v>
      </c>
      <c r="C261" s="310" t="str">
        <f>IFERROR(VLOOKUP(A261,'Compartments_Kawecki&amp;Nowack19'!A:C,3,FALSE), IFERROR(VLOOKUP(A261,Compartments_Added!A:C,3,FALSE), "Not found"))</f>
        <v>WWTTertiaryMicro</v>
      </c>
      <c r="D261" s="224" t="str">
        <f>IFERROR(IF(VLOOKUP(A261,'Compartments_Kawecki&amp;Nowack19'!A:C,1,FALSE)=A261, "Kawecki","what?"),"Added/changed")</f>
        <v>Kawecki</v>
      </c>
      <c r="G261" s="436" t="str">
        <v>Secondary water treatment (micro)</v>
      </c>
      <c r="H261" s="313" t="str">
        <v>Clothing washed (discarded)</v>
      </c>
      <c r="I261" s="501" t="str">
        <v>Primary water treatment (micro)</v>
      </c>
      <c r="J261" t="str">
        <v>Manufacturing of clothing</v>
      </c>
    </row>
    <row r="262" spans="1:10" ht="15" thickBot="1">
      <c r="A262" s="612" t="str">
        <v>Primary water treatment (macro)</v>
      </c>
      <c r="B262" s="310" t="str">
        <f>IFERROR(VLOOKUP(A262,'Compartments_Kawecki&amp;Nowack19'!A:C,2,FALSE), IFERROR(VLOOKUP(A262,Compartments_Added!A:C,2,FALSE), "Not found"))</f>
        <v>Flow</v>
      </c>
      <c r="C262" s="310" t="str">
        <f>IFERROR(VLOOKUP(A262,'Compartments_Kawecki&amp;Nowack19'!A:C,3,FALSE), IFERROR(VLOOKUP(A262,Compartments_Added!A:C,3,FALSE), "Not found"))</f>
        <v>WWTPrimaryMacro</v>
      </c>
      <c r="D262" s="224" t="str">
        <f>IFERROR(IF(VLOOKUP(A262,'Compartments_Kawecki&amp;Nowack19'!A:C,1,FALSE)=A262, "Kawecki","what?"),"Added/changed")</f>
        <v>Kawecki</v>
      </c>
      <c r="G262" s="436" t="str">
        <v>Tertiary water treatment (micro)</v>
      </c>
      <c r="H262" s="436" t="str">
        <v>Clothing wearing</v>
      </c>
      <c r="I262" s="433" t="str">
        <v>Secondary water treatment (micro)</v>
      </c>
      <c r="J262" t="str">
        <v>Import of plastic sheets</v>
      </c>
    </row>
    <row r="263" spans="1:10" ht="15" thickBot="1">
      <c r="A263" s="612" t="str">
        <v>Secondary water treatment (macro)</v>
      </c>
      <c r="B263" s="310" t="str">
        <f>IFERROR(VLOOKUP(A263,'Compartments_Kawecki&amp;Nowack19'!A:C,2,FALSE), IFERROR(VLOOKUP(A263,Compartments_Added!A:C,2,FALSE), "Not found"))</f>
        <v>Flow</v>
      </c>
      <c r="C263" s="310" t="str">
        <f>IFERROR(VLOOKUP(A263,'Compartments_Kawecki&amp;Nowack19'!A:C,3,FALSE), IFERROR(VLOOKUP(A263,Compartments_Added!A:C,3,FALSE), "Not found"))</f>
        <v>WWTSecondaryMacro</v>
      </c>
      <c r="D263" s="224" t="str">
        <f>IFERROR(IF(VLOOKUP(A263,'Compartments_Kawecki&amp;Nowack19'!A:C,1,FALSE)=A263, "Kawecki","what?"),"Added/changed")</f>
        <v>Kawecki</v>
      </c>
      <c r="G263" s="436" t="str">
        <v>Primary water treatment (macro)</v>
      </c>
      <c r="H263" s="436" t="str">
        <v>Clothing washing</v>
      </c>
      <c r="I263" s="433" t="str">
        <v>Tertiary water treatment (micro)</v>
      </c>
      <c r="J263" t="str">
        <v>Import of yarn</v>
      </c>
    </row>
    <row r="264" spans="1:10" ht="15" thickBot="1">
      <c r="A264" s="612" t="str">
        <v>Tertiary water treatment (macro)</v>
      </c>
      <c r="B264" s="310" t="str">
        <f>IFERROR(VLOOKUP(A264,'Compartments_Kawecki&amp;Nowack19'!A:C,2,FALSE), IFERROR(VLOOKUP(A264,Compartments_Added!A:C,2,FALSE), "Not found"))</f>
        <v>Flow</v>
      </c>
      <c r="C264" s="310" t="str">
        <f>IFERROR(VLOOKUP(A264,'Compartments_Kawecki&amp;Nowack19'!A:C,3,FALSE), IFERROR(VLOOKUP(A264,Compartments_Added!A:C,3,FALSE), "Not found"))</f>
        <v>WWTTertiaryMacro</v>
      </c>
      <c r="D264" s="224" t="str">
        <f>IFERROR(IF(VLOOKUP(A264,'Compartments_Kawecki&amp;Nowack19'!A:C,1,FALSE)=A264, "Kawecki","what?"),"Added/changed")</f>
        <v>Kawecki</v>
      </c>
      <c r="G264" s="436" t="str">
        <v>Secondary water treatment (macro)</v>
      </c>
      <c r="H264" s="436" t="str">
        <v>Clothing drying</v>
      </c>
      <c r="I264" s="433" t="str">
        <v>Primary water treatment (macro)</v>
      </c>
      <c r="J264" t="str">
        <v>Clothing waste collection</v>
      </c>
    </row>
    <row r="265" spans="1:10" ht="15" thickBot="1">
      <c r="A265" s="612" t="str">
        <v>Landfill</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Landfill</v>
      </c>
      <c r="D265" s="224" t="str">
        <f>IFERROR(IF(VLOOKUP(A265,'Compartments_Kawecki&amp;Nowack19'!A:C,1,FALSE)=A265, "Kawecki","what?"),"Added/changed")</f>
        <v>Kawecki</v>
      </c>
      <c r="G265" s="436" t="str">
        <v>Tertiary water treatment (macro)</v>
      </c>
      <c r="H265" s="436" t="str">
        <v>Clothing waste collection</v>
      </c>
      <c r="I265" s="433" t="str">
        <v>Secondary water treatment (macro)</v>
      </c>
      <c r="J265" t="str">
        <v>Home textile waste collection</v>
      </c>
    </row>
    <row r="266" spans="1:10" ht="15" thickBot="1">
      <c r="A266" s="612" t="str">
        <v>Residential soil (macro)</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UrbanSoilMacro</v>
      </c>
      <c r="D266" s="224" t="str">
        <f>IFERROR(IF(VLOOKUP(A266,'Compartments_Kawecki&amp;Nowack19'!A:C,1,FALSE)=A266, "Kawecki","what?"),"Added/changed")</f>
        <v>Kawecki</v>
      </c>
      <c r="G266" s="436"/>
      <c r="H266" s="436" t="str">
        <v>Footwear waste collection</v>
      </c>
      <c r="I266" s="433" t="str">
        <v>Tertiary water treatment (macro)</v>
      </c>
      <c r="J266" t="str">
        <v>Technical textile waste collection</v>
      </c>
    </row>
    <row r="267" spans="1:10" ht="15" thickBot="1">
      <c r="A267" s="612" t="str">
        <v>Agricultural soil (macro)</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AgriculturalSoilMacro</v>
      </c>
      <c r="D267" s="224" t="str">
        <f>IFERROR(IF(VLOOKUP(A267,'Compartments_Kawecki&amp;Nowack19'!A:C,1,FALSE)=A267, "Kawecki","what?"),"Added/changed")</f>
        <v>Kawecki</v>
      </c>
      <c r="G267" s="436"/>
      <c r="H267" s="436" t="str">
        <v>Footwear wearing (soles)</v>
      </c>
      <c r="I267" s="433" t="str">
        <v>Landfill</v>
      </c>
      <c r="J267" t="str">
        <v>Footwear waste collection</v>
      </c>
    </row>
    <row r="268" spans="1:10" ht="15" thickBot="1">
      <c r="A268" s="612" t="str">
        <v>Agricultural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AgriculturalSoilMicro</v>
      </c>
      <c r="D268" s="224" t="str">
        <f>IFERROR(IF(VLOOKUP(A268,'Compartments_Kawecki&amp;Nowack19'!A:C,1,FALSE)=A268, "Kawecki","what?"),"Added/changed")</f>
        <v>Kawecki</v>
      </c>
      <c r="G268" s="436"/>
      <c r="H268" s="436" t="str">
        <v>Footwear wearing (uppers)</v>
      </c>
      <c r="I268" s="433" t="str">
        <v>Residential soil (macro)</v>
      </c>
      <c r="J268" t="str">
        <v>Apparel accessories</v>
      </c>
    </row>
    <row r="269" spans="1:10" ht="15" thickBot="1">
      <c r="A269" s="612" t="str">
        <v>Sub-surface soil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DeepUrbanSoilMicro</v>
      </c>
      <c r="D269" s="224" t="str">
        <f>IFERROR(IF(VLOOKUP(A269,'Compartments_Kawecki&amp;Nowack19'!A:C,1,FALSE)=A269, "Kawecki","what?"),"Added/changed")</f>
        <v>Kawecki</v>
      </c>
      <c r="G269" s="436"/>
      <c r="H269" s="436" t="str">
        <v>On-site sewage facility (micro)</v>
      </c>
      <c r="I269" s="433" t="str">
        <v>Agricultural soil (macro)</v>
      </c>
      <c r="J269" t="str">
        <v>Jackets and coats</v>
      </c>
    </row>
    <row r="270" spans="1:10" ht="15" thickBot="1">
      <c r="A270" s="612" t="str">
        <v>Outdoor air (micro)</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OutdoorAirMicro</v>
      </c>
      <c r="D270" s="224" t="str">
        <f>IFERROR(IF(VLOOKUP(A270,'Compartments_Kawecki&amp;Nowack19'!A:C,1,FALSE)=A270, "Kawecki","what?"),"Added/changed")</f>
        <v>Kawecki</v>
      </c>
      <c r="G270" s="436"/>
      <c r="H270" s="436" t="str">
        <v>Secondary water treatment (micro)</v>
      </c>
      <c r="I270" s="433" t="str">
        <v>Agricultural soil (micro)</v>
      </c>
      <c r="J270" t="str">
        <v>Dresses skirts and jumpsuits</v>
      </c>
    </row>
    <row r="271" spans="1:10" ht="15" thickBot="1">
      <c r="A271" s="612" t="str">
        <v>Elimination</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Elimination</v>
      </c>
      <c r="D271" s="224" t="str">
        <f>IFERROR(IF(VLOOKUP(A271,'Compartments_Kawecki&amp;Nowack19'!A:C,1,FALSE)=A271, "Kawecki","what?"),"Added/changed")</f>
        <v>Kawecki</v>
      </c>
      <c r="G271" s="436"/>
      <c r="H271" s="436" t="str">
        <v>Tertiary water treatment (micro)</v>
      </c>
      <c r="I271" s="433" t="str">
        <v>Sub-surface soil (micro)</v>
      </c>
      <c r="J271" t="str">
        <v>Leggings stockings tights and socks</v>
      </c>
    </row>
    <row r="272" spans="1:10" ht="15" thickBot="1">
      <c r="A272" s="612" t="str">
        <v>Export</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v>
      </c>
      <c r="D272" s="224" t="str">
        <f>IFERROR(IF(VLOOKUP(A272,'Compartments_Kawecki&amp;Nowack19'!A:C,1,FALSE)=A272, "Kawecki","what?"),"Added/changed")</f>
        <v>Kawecki</v>
      </c>
      <c r="G272" s="436"/>
      <c r="H272" s="436" t="str">
        <v>Secondary water treatment (macro)</v>
      </c>
      <c r="I272" s="433" t="str">
        <v>Outdoor air (micro)</v>
      </c>
      <c r="J272" t="str">
        <v>Pants and shorts</v>
      </c>
    </row>
    <row r="273" spans="1:10" ht="15" thickBot="1">
      <c r="A273" s="612" t="str">
        <v>Secondary material reuse</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MaterialReuse</v>
      </c>
      <c r="D273" s="224" t="str">
        <f>IFERROR(IF(VLOOKUP(A273,'Compartments_Kawecki&amp;Nowack19'!A:C,1,FALSE)=A273, "Kawecki","what?"),"Added/changed")</f>
        <v>Kawecki</v>
      </c>
      <c r="G273" s="436"/>
      <c r="H273" s="436" t="str">
        <v>Tertiary water treatment (macro)</v>
      </c>
      <c r="I273" s="433" t="str">
        <v>Elimination</v>
      </c>
      <c r="J273" t="str">
        <v>Shirts and blouses</v>
      </c>
    </row>
    <row r="274" spans="1:10" ht="15" thickBot="1">
      <c r="A274" s="612" t="str">
        <v>Residential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UrbanSoilMicro</v>
      </c>
      <c r="D274" s="224" t="str">
        <f>IFERROR(IF(VLOOKUP(A274,'Compartments_Kawecki&amp;Nowack19'!A:C,1,FALSE)=A274, "Kawecki","what?"),"Added/changed")</f>
        <v>Kawecki</v>
      </c>
      <c r="G274" s="436"/>
      <c r="H274" s="436"/>
      <c r="I274" s="433" t="str">
        <v>Export</v>
      </c>
      <c r="J274" t="str">
        <v>Sweaters and midlayers</v>
      </c>
    </row>
    <row r="275" spans="1:10" ht="15" thickBot="1">
      <c r="A275" s="612" t="str">
        <v>Surface water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SurfaceWaterMicro</v>
      </c>
      <c r="D275" s="224" t="str">
        <f>IFERROR(IF(VLOOKUP(A275,'Compartments_Kawecki&amp;Nowack19'!A:C,1,FALSE)=A275, "Kawecki","what?"),"Added/changed")</f>
        <v>Kawecki</v>
      </c>
      <c r="G275" s="436"/>
      <c r="H275" s="436"/>
      <c r="I275" s="433" t="str">
        <v>Secondary material reuse</v>
      </c>
      <c r="J275" t="str">
        <v>Swimwear</v>
      </c>
    </row>
    <row r="276" spans="1:10" ht="15" thickBot="1">
      <c r="A276" s="612" t="str">
        <v>Plastic products</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PlasticProduct</v>
      </c>
      <c r="D276" s="224" t="str">
        <f>IFERROR(IF(VLOOKUP(A276,'Compartments_Kawecki&amp;Nowack19'!A:C,1,FALSE)=A276, "Kawecki","what?"),"Added/changed")</f>
        <v>Added/changed</v>
      </c>
      <c r="G276" s="436"/>
      <c r="H276" s="436"/>
      <c r="I276" s="433" t="str">
        <v>Residential soil (micro)</v>
      </c>
      <c r="J276" t="str">
        <v>T-shirts</v>
      </c>
    </row>
    <row r="277" spans="1:10" ht="15" thickBot="1">
      <c r="A277" s="612" t="str">
        <v>Surface water (macro)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SurfaceWaterMacro</v>
      </c>
      <c r="D277" s="224" t="str">
        <f>IFERROR(IF(VLOOKUP(A277,'Compartments_Kawecki&amp;Nowack19'!A:C,1,FALSE)=A277, "Kawecki","what?"),"Added/changed")</f>
        <v>Kawecki</v>
      </c>
      <c r="G277" s="436"/>
      <c r="H277" s="436"/>
      <c r="I277" s="433" t="str">
        <v>Surface water (micro)</v>
      </c>
      <c r="J277" t="str">
        <v>Underwear</v>
      </c>
    </row>
    <row r="278" spans="1:10" ht="15" thickBot="1">
      <c r="A278" s="612" t="str">
        <v>Export of primary plastics</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ExportPrimPlastics</v>
      </c>
      <c r="D278" s="224" t="str">
        <f>IFERROR(IF(VLOOKUP(A278,'Compartments_Kawecki&amp;Nowack19'!A:C,1,FALSE)=A278, "Kawecki","what?"),"Added/changed")</f>
        <v>Added/changed</v>
      </c>
      <c r="G278" s="436"/>
      <c r="H278" s="436"/>
      <c r="I278" s="433" t="str">
        <v>Plastic products</v>
      </c>
      <c r="J278" t="str">
        <v>Clothing washed (in use)</v>
      </c>
    </row>
    <row r="279" spans="1:10" ht="15" thickBot="1">
      <c r="A279" s="612" t="str">
        <v>Natural soil (macro)</v>
      </c>
      <c r="B279" s="310" t="str">
        <f>IFERROR(VLOOKUP(A279,'Compartments_Kawecki&amp;Nowack19'!A:C,2,FALSE), IFERROR(VLOOKUP(A279,Compartments_Added!A:C,2,FALSE), "Not found"))</f>
        <v>Sink</v>
      </c>
      <c r="C279" s="310" t="str">
        <f>IFERROR(VLOOKUP(A279,'Compartments_Kawecki&amp;Nowack19'!A:C,3,FALSE), IFERROR(VLOOKUP(A279,Compartments_Added!A:C,3,FALSE), "Not found"))</f>
        <v>RuralSoilMacro</v>
      </c>
      <c r="D279" s="224" t="str">
        <f>IFERROR(IF(VLOOKUP(A279,'Compartments_Kawecki&amp;Nowack19'!A:C,1,FALSE)=A279, "Kawecki","what?"),"Added/changed")</f>
        <v>Kawecki</v>
      </c>
      <c r="G279" s="436"/>
      <c r="H279" s="436"/>
      <c r="I279" s="433" t="str">
        <v>Surface water (macro)</v>
      </c>
      <c r="J279" t="str">
        <v>Clothing washed (discarded)</v>
      </c>
    </row>
    <row r="280" spans="1:10" ht="15" thickBot="1">
      <c r="A280" s="612" t="str">
        <v>Natural soil (micro)</v>
      </c>
      <c r="B280" s="310" t="str">
        <f>IFERROR(VLOOKUP(A280,'Compartments_Kawecki&amp;Nowack19'!A:C,2,FALSE), IFERROR(VLOOKUP(A280,Compartments_Added!A:C,2,FALSE), "Not found"))</f>
        <v>Sink</v>
      </c>
      <c r="C280" s="310" t="str">
        <f>IFERROR(VLOOKUP(A280,'Compartments_Kawecki&amp;Nowack19'!A:C,3,FALSE), IFERROR(VLOOKUP(A280,Compartments_Added!A:C,3,FALSE), "Not found"))</f>
        <v>RuralSoilMicro</v>
      </c>
      <c r="D280" s="224" t="str">
        <f>IFERROR(IF(VLOOKUP(A280,'Compartments_Kawecki&amp;Nowack19'!A:C,1,FALSE)=A280, "Kawecki","what?"),"Added/changed")</f>
        <v>Kawecki</v>
      </c>
      <c r="G280" s="436"/>
      <c r="H280" s="436"/>
      <c r="I280" s="433" t="str">
        <v>Export of primary plastics</v>
      </c>
      <c r="J280" t="str">
        <v>Clothing rarely washed (in use)</v>
      </c>
    </row>
    <row r="281" spans="1:10" ht="15" thickBot="1">
      <c r="A281" s="612" t="str">
        <v>Road side soil (micro)</v>
      </c>
      <c r="B281" s="310" t="str">
        <f>IFERROR(VLOOKUP(A281,'Compartments_Kawecki&amp;Nowack19'!A:C,2,FALSE), IFERROR(VLOOKUP(A281,Compartments_Added!A:C,2,FALSE), "Not found"))</f>
        <v>Sink</v>
      </c>
      <c r="C281" s="310" t="str">
        <f>IFERROR(VLOOKUP(A281,'Compartments_Kawecki&amp;Nowack19'!A:C,3,FALSE), IFERROR(VLOOKUP(A281,Compartments_Added!A:C,3,FALSE), "Not found"))</f>
        <v>RoadSideSoilMicro</v>
      </c>
      <c r="D281" s="224" t="str">
        <f>IFERROR(IF(VLOOKUP(A281,'Compartments_Kawecki&amp;Nowack19'!A:C,1,FALSE)=A281, "Kawecki","what?"),"Added/changed")</f>
        <v>Added/changed</v>
      </c>
      <c r="G281" s="436"/>
      <c r="H281" s="436"/>
      <c r="I281" s="433" t="str">
        <v>Natural soil (macro)</v>
      </c>
      <c r="J281" t="str">
        <v>Clothing rarely washed (discarded)</v>
      </c>
    </row>
    <row r="282" spans="1:10" ht="15" thickBot="1">
      <c r="A282" s="612" t="str">
        <v>Road side soil (macro)</v>
      </c>
      <c r="B282" s="310" t="str">
        <f>IFERROR(VLOOKUP(A282,'Compartments_Kawecki&amp;Nowack19'!A:C,2,FALSE), IFERROR(VLOOKUP(A282,Compartments_Added!A:C,2,FALSE), "Not found"))</f>
        <v>Sink</v>
      </c>
      <c r="C282" s="310" t="str">
        <f>IFERROR(VLOOKUP(A282,'Compartments_Kawecki&amp;Nowack19'!A:C,3,FALSE), IFERROR(VLOOKUP(A282,Compartments_Added!A:C,3,FALSE), "Not found"))</f>
        <v>RoadSideMacro</v>
      </c>
      <c r="D282" s="224" t="str">
        <f>IFERROR(IF(VLOOKUP(A282,'Compartments_Kawecki&amp;Nowack19'!A:C,1,FALSE)=A282, "Kawecki","what?"),"Added/changed")</f>
        <v>Kawecki</v>
      </c>
      <c r="G282" s="436"/>
      <c r="H282" s="436"/>
      <c r="I282" s="433" t="str">
        <v>Natural soil (micro)</v>
      </c>
      <c r="J282" t="str">
        <v>Clothing not washed (in use)</v>
      </c>
    </row>
    <row r="283" spans="1:10" ht="15" thickBot="1">
      <c r="A283" s="612" t="str">
        <v>Sea water (micro)</v>
      </c>
      <c r="B283" s="310" t="str">
        <f>IFERROR(VLOOKUP(A283,'Compartments_Kawecki&amp;Nowack19'!A:C,2,FALSE), IFERROR(VLOOKUP(A283,Compartments_Added!A:C,2,FALSE), "Not found"))</f>
        <v>Sink</v>
      </c>
      <c r="C283" s="310" t="str">
        <f>IFERROR(VLOOKUP(A283,'Compartments_Kawecki&amp;Nowack19'!A:C,3,FALSE), IFERROR(VLOOKUP(A283,Compartments_Added!A:C,3,FALSE), "Not found"))</f>
        <v>SeaWaterMicro</v>
      </c>
      <c r="D283" s="224" t="str">
        <f>IFERROR(IF(VLOOKUP(A283,'Compartments_Kawecki&amp;Nowack19'!A:C,1,FALSE)=A283, "Kawecki","what?"),"Added/changed")</f>
        <v>Added/changed</v>
      </c>
      <c r="G283" s="436"/>
      <c r="H283" s="436"/>
      <c r="I283" s="433" t="str">
        <v>Road side soil (micro)</v>
      </c>
      <c r="J283" t="str">
        <v>Clothing not washed (discarded)</v>
      </c>
    </row>
    <row r="284" spans="1:10" ht="15" thickBot="1">
      <c r="A284" s="612" t="str">
        <v>Textile reuse</v>
      </c>
      <c r="B284" s="310" t="str">
        <f>IFERROR(VLOOKUP(A284,'Compartments_Kawecki&amp;Nowack19'!A:C,2,FALSE), IFERROR(VLOOKUP(A284,Compartments_Added!A:C,2,FALSE), "Not found"))</f>
        <v>Sink</v>
      </c>
      <c r="C284" s="310" t="str">
        <f>IFERROR(VLOOKUP(A284,'Compartments_Kawecki&amp;Nowack19'!A:C,3,FALSE), IFERROR(VLOOKUP(A284,Compartments_Added!A:C,3,FALSE), "Not found"))</f>
        <v>TextileReuse</v>
      </c>
      <c r="D284" s="224" t="str">
        <f>IFERROR(IF(VLOOKUP(A284,'Compartments_Kawecki&amp;Nowack19'!A:C,1,FALSE)=A284, "Kawecki","what?"),"Added/changed")</f>
        <v>Kawecki</v>
      </c>
      <c r="G284" s="436"/>
      <c r="H284" s="436"/>
      <c r="I284" s="433" t="str">
        <v>Road side soil (macro)</v>
      </c>
      <c r="J284" t="str">
        <v>Boots</v>
      </c>
    </row>
    <row r="285" spans="1:10" ht="15" thickBot="1">
      <c r="A285" s="612" t="str">
        <v>Footwear reuse</v>
      </c>
      <c r="B285" s="310" t="str">
        <f>IFERROR(VLOOKUP(A285,'Compartments_Kawecki&amp;Nowack19'!A:C,2,FALSE), IFERROR(VLOOKUP(A285,Compartments_Added!A:C,2,FALSE), "Not found"))</f>
        <v>Sink</v>
      </c>
      <c r="C285" s="310" t="str">
        <f>IFERROR(VLOOKUP(A285,'Compartments_Kawecki&amp;Nowack19'!A:C,3,FALSE), IFERROR(VLOOKUP(A285,Compartments_Added!A:C,3,FALSE), "Not found"))</f>
        <v>FootwearReuse</v>
      </c>
      <c r="D285" s="224" t="str">
        <f>IFERROR(IF(VLOOKUP(A285,'Compartments_Kawecki&amp;Nowack19'!A:C,1,FALSE)=A285, "Kawecki","what?"),"Added/changed")</f>
        <v>Added/changed</v>
      </c>
      <c r="G285" s="436"/>
      <c r="H285" s="436"/>
      <c r="I285" s="433" t="str">
        <v>Sea water (micro)</v>
      </c>
      <c r="J285" t="str">
        <v>Closed-toed shoes</v>
      </c>
    </row>
    <row r="286" spans="1:10" ht="15" thickBot="1">
      <c r="A286" s="612"/>
      <c r="B286" s="310"/>
      <c r="C286" s="310"/>
      <c r="D286" s="224"/>
      <c r="G286" s="436"/>
      <c r="H286" s="436"/>
      <c r="I286" s="433" t="str">
        <v>Textile reuse</v>
      </c>
      <c r="J286" t="str">
        <v>Open-toed shoes</v>
      </c>
    </row>
    <row r="287" spans="1:10" ht="15" thickBot="1">
      <c r="A287" s="612"/>
      <c r="B287" s="310"/>
      <c r="C287" s="310"/>
      <c r="D287" s="224"/>
      <c r="G287" s="436"/>
      <c r="H287" s="436"/>
      <c r="I287" s="433" t="str">
        <v>Footwear reuse</v>
      </c>
      <c r="J287" t="str">
        <v>Wastewater (micro)</v>
      </c>
    </row>
    <row r="288" spans="1:10" ht="15" thickBot="1">
      <c r="A288" s="612"/>
      <c r="B288" s="310"/>
      <c r="C288" s="310"/>
      <c r="D288" s="224"/>
      <c r="G288" s="436"/>
      <c r="H288" s="436"/>
      <c r="I288" s="433">
        <v>0</v>
      </c>
      <c r="J288" t="str">
        <v>Primary water treatment (micro)</v>
      </c>
    </row>
    <row r="289" spans="7:10" ht="15" thickBot="1">
      <c r="G289" s="436"/>
      <c r="H289" s="436"/>
      <c r="I289" s="433"/>
      <c r="J289" t="str">
        <v>Secondary water treatment (micro)</v>
      </c>
    </row>
    <row r="290" spans="7:10" ht="15" thickBot="1">
      <c r="G290" s="436"/>
      <c r="H290" s="436"/>
      <c r="I290" s="433"/>
      <c r="J290" t="str">
        <v>Tertiary water treatment (micro)</v>
      </c>
    </row>
    <row r="291" spans="7:10" ht="15" thickBot="1">
      <c r="G291" s="436"/>
      <c r="H291" s="436"/>
      <c r="I291" s="433"/>
      <c r="J291" t="str">
        <v>Primary water treatment (macro)</v>
      </c>
    </row>
    <row r="292" spans="7:10" ht="15" thickBot="1">
      <c r="G292" s="436"/>
      <c r="H292" s="436"/>
      <c r="I292" s="433"/>
      <c r="J292" t="str">
        <v>Secondary water treatment (macro)</v>
      </c>
    </row>
    <row r="293" spans="7:10" ht="15" thickBot="1">
      <c r="G293" s="436"/>
      <c r="H293" s="436"/>
      <c r="I293" s="433"/>
      <c r="J293" t="str">
        <v>Tertiary water treatment (macro)</v>
      </c>
    </row>
    <row r="294" spans="7:10" ht="15" thickBot="1">
      <c r="G294" s="436"/>
      <c r="H294" s="436"/>
      <c r="I294" s="433"/>
      <c r="J294">
        <v>0</v>
      </c>
    </row>
    <row r="295" spans="7:10" ht="15" thickBot="1">
      <c r="G295" s="436"/>
      <c r="H295" s="436"/>
      <c r="I295" s="433"/>
      <c r="J295">
        <v>0</v>
      </c>
    </row>
    <row r="296" spans="7:10" ht="15" thickBot="1">
      <c r="G296" s="436"/>
      <c r="H296" s="436"/>
      <c r="I296" s="433"/>
      <c r="J296">
        <v>0</v>
      </c>
    </row>
    <row r="297" spans="7:10" ht="15" thickBot="1">
      <c r="G297" s="436"/>
      <c r="H297" s="436"/>
      <c r="I297" s="433"/>
      <c r="J297">
        <v>0</v>
      </c>
    </row>
    <row r="298" spans="7:10" ht="15" thickBot="1">
      <c r="G298" s="436"/>
      <c r="H298" s="436"/>
      <c r="I298" s="433"/>
      <c r="J298">
        <v>0</v>
      </c>
    </row>
    <row r="299" spans="7:10" ht="15" thickBot="1">
      <c r="G299" s="436"/>
      <c r="H299" s="436"/>
      <c r="I299" s="433"/>
      <c r="J299">
        <v>0</v>
      </c>
    </row>
    <row r="300" spans="7:10" ht="15" thickBot="1">
      <c r="G300" s="436"/>
      <c r="H300" s="436"/>
      <c r="I300" s="433"/>
      <c r="J300">
        <v>0</v>
      </c>
    </row>
    <row r="301" spans="7:10" ht="15" thickBot="1">
      <c r="G301" s="436"/>
      <c r="H301" s="436"/>
      <c r="I301" s="433"/>
      <c r="J301">
        <v>0</v>
      </c>
    </row>
    <row r="302" spans="7:10" ht="15" thickBot="1">
      <c r="G302" s="436"/>
      <c r="H302" s="436"/>
      <c r="I302" s="433"/>
      <c r="J302">
        <v>0</v>
      </c>
    </row>
    <row r="303" spans="7:10" ht="15" thickBot="1">
      <c r="G303" s="436"/>
      <c r="H303" s="436"/>
      <c r="I303" s="433"/>
      <c r="J303">
        <v>0</v>
      </c>
    </row>
    <row r="304" spans="7:10" ht="15" thickBot="1">
      <c r="G304" s="436"/>
      <c r="H304" s="436"/>
      <c r="I304" s="433"/>
      <c r="J304">
        <v>0</v>
      </c>
    </row>
    <row r="305" spans="7:10" ht="15" thickBot="1">
      <c r="G305" s="436"/>
      <c r="H305" s="436"/>
      <c r="I305" s="433"/>
      <c r="J305">
        <v>0</v>
      </c>
    </row>
    <row r="306" spans="7:10" ht="15" thickBot="1">
      <c r="G306" s="436"/>
      <c r="H306" s="436"/>
      <c r="I306" s="433"/>
      <c r="J306">
        <v>0</v>
      </c>
    </row>
    <row r="307" spans="7:10" ht="15" thickBot="1">
      <c r="G307" s="436"/>
      <c r="H307" s="436"/>
      <c r="I307" s="433"/>
      <c r="J307">
        <v>0</v>
      </c>
    </row>
    <row r="308" spans="7:10" ht="15" thickBot="1">
      <c r="G308" s="436"/>
      <c r="H308" s="436"/>
      <c r="I308" s="433"/>
      <c r="J308">
        <v>0</v>
      </c>
    </row>
    <row r="309" spans="7:10" ht="15" thickBot="1">
      <c r="G309" s="436"/>
      <c r="H309" s="436"/>
      <c r="I309" s="433"/>
      <c r="J309">
        <v>0</v>
      </c>
    </row>
    <row r="310" spans="7:10" ht="15" thickBot="1">
      <c r="G310" s="436"/>
      <c r="H310" s="436"/>
      <c r="I310" s="433"/>
      <c r="J310">
        <v>0</v>
      </c>
    </row>
    <row r="311" spans="7:10" ht="15" thickBot="1">
      <c r="G311" s="436"/>
      <c r="H311" s="436"/>
      <c r="I311" s="433"/>
      <c r="J311">
        <v>0</v>
      </c>
    </row>
    <row r="312" spans="7:10" ht="15" thickBot="1">
      <c r="G312" s="436"/>
      <c r="H312" s="436"/>
      <c r="I312" s="433"/>
      <c r="J312">
        <v>0</v>
      </c>
    </row>
    <row r="313" spans="7:10" ht="15" thickBot="1">
      <c r="G313" s="436"/>
      <c r="H313" s="436"/>
      <c r="I313" s="433"/>
      <c r="J313">
        <v>0</v>
      </c>
    </row>
    <row r="314" spans="7:10" ht="15" thickBot="1">
      <c r="G314" s="436"/>
      <c r="H314" s="436"/>
      <c r="I314" s="433"/>
      <c r="J314">
        <v>0</v>
      </c>
    </row>
    <row r="315" spans="7:10" ht="15" thickBot="1">
      <c r="G315" s="436"/>
      <c r="H315" s="436"/>
      <c r="I315" s="433"/>
      <c r="J315">
        <v>0</v>
      </c>
    </row>
    <row r="316" spans="7:10" ht="15" thickBot="1">
      <c r="G316" s="436"/>
      <c r="H316" s="436"/>
      <c r="I316" s="433"/>
      <c r="J316">
        <v>0</v>
      </c>
    </row>
    <row r="317" spans="7:10" ht="15" thickBot="1">
      <c r="G317" s="436"/>
      <c r="H317" s="436"/>
      <c r="I317" s="433"/>
      <c r="J317">
        <v>0</v>
      </c>
    </row>
    <row r="318" spans="7:10" ht="15" thickBot="1">
      <c r="G318" s="436"/>
      <c r="H318" s="436"/>
      <c r="I318" s="433"/>
      <c r="J318">
        <v>0</v>
      </c>
    </row>
    <row r="319" spans="7:10" ht="15" thickBot="1">
      <c r="G319" s="436"/>
      <c r="H319" s="436"/>
      <c r="I319" s="433"/>
      <c r="J319">
        <v>0</v>
      </c>
    </row>
    <row r="320" spans="7:10" ht="15" thickBot="1">
      <c r="G320" s="436"/>
      <c r="H320" s="436"/>
      <c r="I320" s="433"/>
      <c r="J320">
        <v>0</v>
      </c>
    </row>
    <row r="321" spans="7:10" ht="15" thickBot="1">
      <c r="G321" s="436"/>
      <c r="H321" s="436"/>
      <c r="I321" s="433"/>
      <c r="J321">
        <v>0</v>
      </c>
    </row>
    <row r="322" spans="7:10" ht="15" thickBot="1">
      <c r="G322" s="436"/>
      <c r="H322" s="436"/>
      <c r="I322" s="433"/>
      <c r="J322">
        <v>0</v>
      </c>
    </row>
    <row r="323" spans="7:10" ht="15" thickBot="1">
      <c r="G323" s="436"/>
      <c r="H323" s="436"/>
      <c r="I323" s="433"/>
      <c r="J323">
        <v>0</v>
      </c>
    </row>
    <row r="324" spans="7:10" ht="15" thickBot="1">
      <c r="G324" s="436"/>
      <c r="H324" s="436"/>
      <c r="I324" s="433"/>
      <c r="J324">
        <v>0</v>
      </c>
    </row>
    <row r="325" spans="7:10" ht="15" thickBot="1">
      <c r="G325" s="436"/>
      <c r="H325" s="436"/>
      <c r="I325" s="433"/>
      <c r="J325">
        <v>0</v>
      </c>
    </row>
    <row r="326" spans="7:10" ht="15" thickBot="1">
      <c r="G326" s="436"/>
      <c r="H326" s="436"/>
      <c r="I326" s="433"/>
      <c r="J326">
        <v>0</v>
      </c>
    </row>
    <row r="327" spans="7:10" ht="15" thickBot="1">
      <c r="G327" s="436"/>
      <c r="H327" s="436"/>
      <c r="I327" s="433"/>
      <c r="J327">
        <v>0</v>
      </c>
    </row>
    <row r="328" spans="7:10" ht="15" thickBot="1">
      <c r="G328" s="436"/>
      <c r="H328" s="436"/>
      <c r="I328" s="433"/>
      <c r="J328">
        <v>0</v>
      </c>
    </row>
    <row r="329" spans="7:10" ht="15" thickBot="1">
      <c r="G329" s="436"/>
      <c r="H329" s="436"/>
      <c r="I329" s="433"/>
      <c r="J329" t="str">
        <v>Agricultural greenhouse films (discarded)</v>
      </c>
    </row>
    <row r="330" spans="7:10" ht="15" thickBot="1">
      <c r="G330" s="436"/>
      <c r="H330" s="436"/>
      <c r="I330" s="433"/>
      <c r="J330" t="str">
        <v>Agricultural greenhouse films (in use)</v>
      </c>
    </row>
    <row r="331" spans="7:10" ht="15" thickBot="1">
      <c r="G331" s="436"/>
      <c r="H331" s="436"/>
      <c r="I331" s="433"/>
      <c r="J331" t="str">
        <v>Agricultural mulching films</v>
      </c>
    </row>
    <row r="332" spans="7:10" ht="15" thickBot="1">
      <c r="G332" s="436"/>
      <c r="H332" s="436"/>
      <c r="I332" s="433"/>
      <c r="J332" t="str">
        <v>Agricultural other</v>
      </c>
    </row>
    <row r="333" spans="7:10" ht="15" thickBot="1">
      <c r="G333" s="436"/>
      <c r="H333" s="436"/>
      <c r="I333" s="433"/>
      <c r="J333" t="str">
        <v>Agricultural packaging bottles</v>
      </c>
    </row>
    <row r="334" spans="7:10" ht="15" thickBot="1">
      <c r="G334" s="436"/>
      <c r="H334" s="436"/>
      <c r="I334" s="433"/>
      <c r="J334" t="str">
        <v>Agricultural packaging films</v>
      </c>
    </row>
    <row r="335" spans="7:10" ht="15" thickBot="1">
      <c r="G335" s="436"/>
      <c r="H335" s="436"/>
      <c r="I335" s="433"/>
      <c r="J335" t="str">
        <v>Agricultural pipes (discarded)</v>
      </c>
    </row>
    <row r="336" spans="7:10" ht="15" thickBot="1">
      <c r="G336" s="436"/>
      <c r="H336" s="436"/>
      <c r="I336" s="433"/>
      <c r="J336" t="str">
        <v>Agricultural pipes (in use)</v>
      </c>
    </row>
    <row r="337" spans="7:10" ht="15" thickBot="1">
      <c r="G337" s="436"/>
      <c r="H337" s="436"/>
      <c r="I337" s="433"/>
      <c r="J337" t="str">
        <v>Agricultural plastic recycling</v>
      </c>
    </row>
    <row r="338" spans="7:10" ht="15" thickBot="1">
      <c r="G338" s="436"/>
      <c r="H338" s="436"/>
      <c r="I338" s="433"/>
      <c r="J338" t="str">
        <v>Incineration</v>
      </c>
    </row>
    <row r="339" spans="7:10" ht="15" thickBot="1">
      <c r="G339" s="436"/>
      <c r="H339" s="436"/>
      <c r="I339" s="433"/>
      <c r="J339" t="str">
        <v>Landfill</v>
      </c>
    </row>
    <row r="340" spans="7:10" ht="15" thickBot="1">
      <c r="G340" s="436"/>
      <c r="H340" s="436"/>
      <c r="I340" s="433"/>
      <c r="J340" t="str">
        <v>Residential soil (macro)</v>
      </c>
    </row>
    <row r="341" spans="7:10" ht="15" thickBot="1">
      <c r="G341" s="436"/>
      <c r="H341" s="436"/>
      <c r="I341" s="433"/>
      <c r="J341" t="str">
        <v>Agricultural soil (macro)</v>
      </c>
    </row>
    <row r="342" spans="7:10" ht="15" thickBot="1">
      <c r="G342" s="436"/>
      <c r="H342" s="436"/>
      <c r="I342" s="433"/>
      <c r="J342" t="str">
        <v>Agrotextiles (discarded)</v>
      </c>
    </row>
    <row r="343" spans="7:10" ht="15" thickBot="1">
      <c r="G343" s="436"/>
      <c r="H343" s="436"/>
      <c r="I343" s="433"/>
      <c r="J343" t="str">
        <v>Agricultural soil (micro)</v>
      </c>
    </row>
    <row r="344" spans="7:10" ht="15" thickBot="1">
      <c r="G344" s="436"/>
      <c r="H344" s="436"/>
      <c r="I344" s="433"/>
      <c r="J344" t="str">
        <v>Agrotextiles (in use)</v>
      </c>
    </row>
    <row r="345" spans="7:10" ht="15" thickBot="1">
      <c r="G345" s="436"/>
      <c r="H345" s="436"/>
      <c r="I345" s="433"/>
      <c r="J345" t="str">
        <v>Agricultural waste collection</v>
      </c>
    </row>
    <row r="346" spans="7:10" ht="15" thickBot="1">
      <c r="G346" s="436"/>
      <c r="H346" s="436"/>
      <c r="I346" s="433"/>
      <c r="J346" t="str">
        <v>Agricultural waste collection (micro)</v>
      </c>
    </row>
    <row r="347" spans="7:10" ht="15" thickBot="1">
      <c r="G347" s="436"/>
      <c r="H347" s="436"/>
      <c r="I347" s="433"/>
      <c r="J347" t="str">
        <v>Collected organic waste</v>
      </c>
    </row>
    <row r="348" spans="7:10" ht="15" thickBot="1">
      <c r="G348" s="436"/>
      <c r="H348" s="436"/>
      <c r="I348" s="433"/>
      <c r="J348" t="str">
        <v>Dumping</v>
      </c>
    </row>
    <row r="349" spans="7:10" ht="15" thickBot="1">
      <c r="G349" s="436"/>
      <c r="H349" s="436"/>
      <c r="I349" s="433"/>
      <c r="J349" t="str">
        <v>Building textiles (discarded)</v>
      </c>
    </row>
    <row r="350" spans="7:10" ht="15" thickBot="1">
      <c r="G350" s="436"/>
      <c r="H350" s="436"/>
      <c r="I350" s="433"/>
      <c r="J350" t="str">
        <v>Building textiles (in use)</v>
      </c>
    </row>
    <row r="351" spans="7:10" ht="15" thickBot="1">
      <c r="G351" s="436"/>
      <c r="H351" s="436"/>
      <c r="I351" s="433"/>
      <c r="J351" t="str">
        <v>Construction and demolition incinerable waste collection</v>
      </c>
    </row>
    <row r="352" spans="7:10" ht="15" thickBot="1">
      <c r="G352" s="436"/>
      <c r="H352" s="436"/>
      <c r="I352" s="433"/>
      <c r="J352" t="str">
        <v>Building packaging films</v>
      </c>
    </row>
    <row r="353" spans="7:10" ht="15" thickBot="1">
      <c r="G353" s="436"/>
      <c r="H353" s="436"/>
      <c r="I353" s="433"/>
      <c r="J353" t="str">
        <v>Geotextiles (discarded)</v>
      </c>
    </row>
    <row r="354" spans="7:10" ht="15" thickBot="1">
      <c r="G354" s="436"/>
      <c r="H354" s="436"/>
      <c r="I354" s="433"/>
      <c r="J354" t="str">
        <v>Geotextiles (in use)</v>
      </c>
    </row>
    <row r="355" spans="7:10" ht="15" thickBot="1">
      <c r="G355" s="436"/>
      <c r="H355" s="436"/>
      <c r="I355" s="433"/>
      <c r="J355" t="str">
        <v>Sub-surface soil (micro)</v>
      </c>
    </row>
    <row r="356" spans="7:10" ht="15" thickBot="1">
      <c r="G356" s="436"/>
      <c r="H356" s="436"/>
      <c r="I356" s="433"/>
      <c r="J356" t="str">
        <v>Home textiles (discarded)</v>
      </c>
    </row>
    <row r="357" spans="7:10" ht="15" thickBot="1">
      <c r="G357" s="436"/>
      <c r="H357" s="436"/>
      <c r="I357" s="433"/>
      <c r="J357" t="str">
        <v>Home textiles (in use)</v>
      </c>
    </row>
    <row r="358" spans="7:10" ht="15" thickBot="1">
      <c r="G358" s="436"/>
      <c r="H358" s="436"/>
      <c r="I358" s="433"/>
      <c r="J358" t="str">
        <v>Collected organic waste (larger than 1 mm)</v>
      </c>
    </row>
    <row r="359" spans="7:10" ht="15" thickBot="1">
      <c r="G359" s="436"/>
      <c r="H359" s="436"/>
      <c r="I359" s="433"/>
      <c r="J359" t="str">
        <v>Collected organic waste (smaller than 1 mm)</v>
      </c>
    </row>
    <row r="360" spans="7:10" ht="15" thickBot="1">
      <c r="G360" s="436"/>
      <c r="H360" s="436"/>
      <c r="I360" s="433"/>
      <c r="J360" t="str">
        <v>Combined sewer overflow (macro)</v>
      </c>
    </row>
    <row r="361" spans="7:10" ht="15" thickBot="1">
      <c r="G361" s="436"/>
      <c r="H361" s="436"/>
      <c r="I361" s="433"/>
      <c r="J361" t="str">
        <v>Combined sewer overflow (micro)</v>
      </c>
    </row>
    <row r="362" spans="7:10" ht="15" thickBot="1">
      <c r="G362" s="436"/>
      <c r="H362" s="436"/>
      <c r="I362" s="433"/>
      <c r="J362" t="str">
        <v>Compost (macro)</v>
      </c>
    </row>
    <row r="363" spans="7:10" ht="15" thickBot="1">
      <c r="G363" s="436"/>
      <c r="H363" s="436"/>
      <c r="I363" s="433"/>
      <c r="J363" t="str">
        <v>Compost (micro)</v>
      </c>
    </row>
    <row r="364" spans="7:10" ht="15" thickBot="1">
      <c r="G364" s="436"/>
      <c r="H364" s="436"/>
      <c r="I364" s="433"/>
      <c r="J364" t="str">
        <v>Compost size separation (fictional process)</v>
      </c>
    </row>
    <row r="365" spans="7:10" ht="15" thickBot="1">
      <c r="G365" s="436"/>
      <c r="H365" s="436"/>
      <c r="I365" s="433"/>
      <c r="J365" t="str">
        <v>Mixed waste collection</v>
      </c>
    </row>
    <row r="366" spans="7:10" ht="15" thickBot="1">
      <c r="G366" s="436"/>
      <c r="H366" s="436"/>
      <c r="I366" s="433"/>
      <c r="J366" t="str">
        <v>Consumer bags</v>
      </c>
    </row>
    <row r="367" spans="7:10" ht="15" thickBot="1">
      <c r="G367" s="436"/>
      <c r="H367" s="436"/>
      <c r="I367" s="433"/>
      <c r="J367" t="str">
        <v>Consumer bottles</v>
      </c>
    </row>
    <row r="368" spans="7:10" ht="15" thickBot="1">
      <c r="G368" s="436"/>
      <c r="H368" s="436"/>
      <c r="I368" s="433"/>
      <c r="J368" t="str">
        <v>Consumer films</v>
      </c>
    </row>
    <row r="369" spans="7:10" ht="15" thickBot="1">
      <c r="G369" s="436"/>
      <c r="H369" s="436"/>
      <c r="I369" s="433"/>
      <c r="J369" t="str">
        <v>Controlled release fertilizer</v>
      </c>
    </row>
    <row r="370" spans="7:10" ht="15" thickBot="1">
      <c r="G370" s="436"/>
      <c r="H370" s="436"/>
      <c r="I370" s="433"/>
      <c r="J370" t="str">
        <v>Detergents and maintenance products</v>
      </c>
    </row>
    <row r="371" spans="7:10" ht="15" thickBot="1">
      <c r="G371" s="436"/>
      <c r="H371" s="436"/>
      <c r="I371" s="433"/>
      <c r="J371" t="str">
        <v>Indoor air (micro)</v>
      </c>
    </row>
    <row r="372" spans="7:10" ht="15" thickBot="1">
      <c r="G372" s="436"/>
      <c r="H372" s="436"/>
      <c r="I372" s="433"/>
      <c r="J372" t="str">
        <v>Outdoor air (micro)</v>
      </c>
    </row>
    <row r="373" spans="7:10" ht="15" thickBot="1">
      <c r="G373" s="436"/>
      <c r="H373" s="436"/>
      <c r="I373" s="433"/>
      <c r="J373" t="str">
        <v>Wastewater (micro)</v>
      </c>
    </row>
    <row r="374" spans="7:10" ht="15" thickBot="1">
      <c r="G374" s="436"/>
      <c r="H374" s="436"/>
      <c r="I374" s="433"/>
      <c r="J374" t="str">
        <v>Disposable cleaning cloths</v>
      </c>
    </row>
    <row r="375" spans="7:10" ht="15" thickBot="1">
      <c r="G375" s="436"/>
      <c r="H375" s="436"/>
      <c r="I375" s="433"/>
      <c r="J375" t="str">
        <v>Home textiles</v>
      </c>
    </row>
    <row r="376" spans="7:10" ht="15" thickBot="1">
      <c r="G376" s="436"/>
      <c r="H376" s="436"/>
      <c r="I376" s="433"/>
      <c r="J376" t="str">
        <v>Elimination</v>
      </c>
    </row>
    <row r="377" spans="7:10" ht="15" thickBot="1">
      <c r="G377" s="436"/>
      <c r="H377" s="436"/>
      <c r="I377" s="433"/>
      <c r="J377" t="str">
        <v>Export</v>
      </c>
    </row>
    <row r="378" spans="7:10" ht="15" thickBot="1">
      <c r="G378" s="436"/>
      <c r="H378" s="436"/>
      <c r="I378" s="433"/>
      <c r="J378" t="str">
        <v>Secondary material reuse</v>
      </c>
    </row>
    <row r="379" spans="7:10" ht="15" thickBot="1">
      <c r="G379" s="436"/>
      <c r="H379" s="436"/>
      <c r="I379" s="433"/>
      <c r="J379" t="str">
        <v>Residential soil (micro)</v>
      </c>
    </row>
    <row r="380" spans="7:10" ht="15" thickBot="1">
      <c r="G380" s="436"/>
      <c r="H380" s="436"/>
      <c r="I380" s="433"/>
      <c r="J380" t="str">
        <v>Industrial stormwater (micro)</v>
      </c>
    </row>
    <row r="381" spans="7:10" ht="15" thickBot="1">
      <c r="G381" s="436"/>
      <c r="H381" s="436"/>
      <c r="I381" s="433"/>
      <c r="J381" t="str">
        <v>Transport of primary plastics</v>
      </c>
    </row>
    <row r="382" spans="7:10" ht="15" thickBot="1">
      <c r="G382" s="436"/>
      <c r="H382" s="436"/>
      <c r="I382" s="433"/>
      <c r="J382" t="str">
        <v>Surface water (micro)</v>
      </c>
    </row>
    <row r="383" spans="7:10" ht="15" thickBot="1">
      <c r="G383" s="436"/>
      <c r="H383" s="436"/>
      <c r="I383" s="433"/>
      <c r="J383" t="str">
        <v>Wastewater treatment plant (micro)</v>
      </c>
    </row>
    <row r="384" spans="7:10" ht="15" thickBot="1">
      <c r="G384" s="436"/>
      <c r="H384" s="436"/>
      <c r="I384" s="433"/>
      <c r="J384" t="str">
        <v>Plastic products</v>
      </c>
    </row>
    <row r="385" spans="7:10" ht="15" thickBot="1">
      <c r="G385" s="436"/>
      <c r="H385" s="436"/>
      <c r="I385" s="433"/>
      <c r="J385" t="str">
        <v>Surface water (macro)</v>
      </c>
    </row>
    <row r="386" spans="7:10" ht="15" thickBot="1">
      <c r="G386" s="436"/>
      <c r="H386" s="436"/>
      <c r="I386" s="433"/>
      <c r="J386" t="str">
        <v>Wastewater treatment plant (macro)</v>
      </c>
    </row>
    <row r="387" spans="7:10" ht="15" thickBot="1">
      <c r="G387" s="436"/>
      <c r="H387" s="436"/>
      <c r="I387" s="433"/>
      <c r="J387" t="str">
        <v>Export of primary plastics</v>
      </c>
    </row>
    <row r="388" spans="7:10" ht="15" thickBot="1">
      <c r="G388" s="436"/>
      <c r="H388" s="436"/>
      <c r="I388" s="433"/>
      <c r="J388" t="str">
        <v>Fertilizer additives</v>
      </c>
    </row>
    <row r="389" spans="7:10" ht="15" thickBot="1">
      <c r="G389" s="436"/>
      <c r="H389" s="436"/>
      <c r="I389" s="433"/>
      <c r="J389" t="str">
        <v>Food additives</v>
      </c>
    </row>
    <row r="390" spans="7:10" ht="15" thickBot="1">
      <c r="G390" s="436"/>
      <c r="H390" s="436"/>
      <c r="I390" s="433"/>
      <c r="J390" t="str">
        <v>Panty liners</v>
      </c>
    </row>
    <row r="391" spans="7:10" ht="15" thickBot="1">
      <c r="G391" s="436"/>
      <c r="H391" s="436"/>
      <c r="I391" s="433"/>
      <c r="J391" t="str">
        <v>Highway DAB</v>
      </c>
    </row>
    <row r="392" spans="7:10" ht="15" thickBot="1">
      <c r="G392" s="436"/>
      <c r="H392" s="436"/>
      <c r="I392" s="433"/>
      <c r="J392" t="str">
        <v>Highway ZOAB</v>
      </c>
    </row>
    <row r="393" spans="7:10" ht="15" thickBot="1">
      <c r="G393" s="436"/>
      <c r="H393" s="436"/>
      <c r="I393" s="433"/>
      <c r="J393" t="str">
        <v>Highway DAB non cleaned</v>
      </c>
    </row>
    <row r="394" spans="7:10" ht="15" thickBot="1">
      <c r="G394" s="436"/>
      <c r="H394" s="436"/>
      <c r="I394" s="433"/>
      <c r="J394" t="str">
        <v>Sanitary pads</v>
      </c>
    </row>
    <row r="395" spans="7:10" ht="15" thickBot="1">
      <c r="G395" s="436"/>
      <c r="H395" s="436"/>
      <c r="I395" s="433"/>
      <c r="J395" t="str">
        <v>Tampons</v>
      </c>
    </row>
    <row r="396" spans="7:10" ht="15" thickBot="1">
      <c r="G396" s="436"/>
      <c r="H396" s="436"/>
      <c r="I396" s="433"/>
      <c r="J396" t="str">
        <v>Road cleaning</v>
      </c>
    </row>
    <row r="397" spans="7:10" ht="15" thickBot="1">
      <c r="G397" s="436"/>
      <c r="H397" s="436"/>
      <c r="I397" s="433"/>
      <c r="J397" t="str">
        <v>Indoor floors (micro)</v>
      </c>
    </row>
    <row r="398" spans="7:10" ht="15" thickBot="1">
      <c r="G398" s="436"/>
      <c r="H398" s="436"/>
      <c r="I398" s="433"/>
      <c r="J398" t="str">
        <v>Infill material sports fields</v>
      </c>
    </row>
    <row r="399" spans="7:10" ht="15" thickBot="1">
      <c r="G399" s="436"/>
      <c r="H399" s="436"/>
      <c r="I399" s="433"/>
      <c r="J399" t="str">
        <v>Infill material sports fields (discarded)</v>
      </c>
    </row>
    <row r="400" spans="7:10" ht="15" thickBot="1">
      <c r="G400" s="436"/>
      <c r="H400" s="436"/>
      <c r="I400" s="433"/>
      <c r="J400" t="str">
        <v>Infill material sports fields (in use)</v>
      </c>
    </row>
    <row r="401" spans="7:10" ht="15" thickBot="1">
      <c r="G401" s="436"/>
      <c r="H401" s="436"/>
      <c r="I401" s="433"/>
      <c r="J401" t="str">
        <v>Invitro diagnostic devices</v>
      </c>
    </row>
    <row r="402" spans="7:10" ht="15" thickBot="1">
      <c r="G402" s="436"/>
      <c r="H402" s="436"/>
      <c r="I402" s="433"/>
      <c r="J402" t="str">
        <v>Litter on road sides</v>
      </c>
    </row>
    <row r="403" spans="7:10" ht="15" thickBot="1">
      <c r="G403" s="436"/>
      <c r="H403" s="436"/>
      <c r="I403" s="433"/>
      <c r="J403" t="str">
        <v>Litter in natural environments</v>
      </c>
    </row>
    <row r="404" spans="7:10" ht="15" thickBot="1">
      <c r="G404" s="436"/>
      <c r="H404" s="436"/>
      <c r="I404" s="433"/>
      <c r="J404" t="str">
        <v>Litter in residential environments</v>
      </c>
    </row>
    <row r="405" spans="7:10" ht="15" thickBot="1">
      <c r="G405" s="436"/>
      <c r="H405" s="436"/>
      <c r="I405" s="433"/>
      <c r="J405" t="str">
        <v>Wet wipes</v>
      </c>
    </row>
    <row r="406" spans="7:10" ht="15" thickBot="1">
      <c r="G406" s="436"/>
      <c r="H406" s="436"/>
      <c r="I406" s="433"/>
      <c r="J406" t="str">
        <v>Medicine diffusion limitation (slow release)</v>
      </c>
    </row>
    <row r="407" spans="7:10" ht="15" thickBot="1">
      <c r="G407" s="436"/>
      <c r="H407" s="436"/>
      <c r="I407" s="433"/>
      <c r="J407" t="str">
        <v>Natural soil (macro)</v>
      </c>
    </row>
    <row r="408" spans="7:10" ht="15" thickBot="1">
      <c r="G408" s="436"/>
      <c r="H408" s="436"/>
      <c r="I408" s="433"/>
      <c r="J408" t="str">
        <v>ELV textiles collection</v>
      </c>
    </row>
    <row r="409" spans="7:10" ht="15" thickBot="1">
      <c r="G409" s="436"/>
      <c r="H409" s="436"/>
      <c r="I409" s="433"/>
      <c r="J409" t="str">
        <v>Mixed waste collection (micro)</v>
      </c>
    </row>
    <row r="410" spans="7:10" ht="15" thickBot="1">
      <c r="G410" s="436"/>
      <c r="H410" s="436"/>
      <c r="I410" s="433"/>
      <c r="J410" t="str">
        <v>Technical home textiles (discarded)</v>
      </c>
    </row>
    <row r="411" spans="7:10" ht="15" thickBot="1">
      <c r="G411" s="436"/>
      <c r="H411" s="436"/>
      <c r="I411" s="433"/>
      <c r="J411" t="str">
        <v>Technical home textiles (in use)</v>
      </c>
    </row>
    <row r="412" spans="7:10" ht="15" thickBot="1">
      <c r="G412" s="436"/>
      <c r="H412" s="436"/>
      <c r="I412" s="433"/>
      <c r="J412" t="str">
        <v>Agrotextiles</v>
      </c>
    </row>
    <row r="413" spans="7:10" ht="15" thickBot="1">
      <c r="G413" s="436"/>
      <c r="H413" s="436"/>
      <c r="I413" s="433"/>
      <c r="J413" t="str">
        <v>Natural soil (micro)</v>
      </c>
    </row>
    <row r="414" spans="7:10" ht="15" thickBot="1">
      <c r="G414" s="436"/>
      <c r="H414" s="436"/>
      <c r="I414" s="433"/>
      <c r="J414" t="str">
        <v>Non-consumer bags</v>
      </c>
    </row>
    <row r="415" spans="7:10" ht="15" thickBot="1">
      <c r="G415" s="436"/>
      <c r="H415" s="436"/>
      <c r="I415" s="433"/>
      <c r="J415" t="str">
        <v>Offshore oil &amp; gas applications</v>
      </c>
    </row>
    <row r="416" spans="7:10" ht="15" thickBot="1">
      <c r="G416" s="436"/>
      <c r="H416" s="436"/>
      <c r="I416" s="433"/>
      <c r="J416" t="str">
        <v>On-site sewage facility (macro)</v>
      </c>
    </row>
    <row r="417" spans="7:10" ht="15" thickBot="1">
      <c r="G417" s="436"/>
      <c r="H417" s="436"/>
      <c r="I417" s="433"/>
      <c r="J417" t="str">
        <v>On-the-go consumption</v>
      </c>
    </row>
    <row r="418" spans="7:10" ht="15" thickBot="1">
      <c r="G418" s="436"/>
      <c r="H418" s="436"/>
      <c r="I418" s="433"/>
      <c r="J418" t="str">
        <v>On-the-go consumption (nature)</v>
      </c>
    </row>
    <row r="419" spans="7:10" ht="15" thickBot="1">
      <c r="G419" s="436"/>
      <c r="H419" s="436"/>
      <c r="I419" s="433"/>
      <c r="J419" t="str">
        <v>On-the-go consumption (residential)</v>
      </c>
    </row>
    <row r="420" spans="7:10" ht="15" thickBot="1">
      <c r="G420" s="436"/>
      <c r="H420" s="436"/>
      <c r="I420" s="433"/>
      <c r="J420" t="str">
        <v>On-the-go consumption (transport)</v>
      </c>
    </row>
    <row r="421" spans="7:10" ht="15" thickBot="1">
      <c r="G421" s="436"/>
      <c r="H421" s="436"/>
      <c r="I421" s="433"/>
      <c r="J421" t="str">
        <v>Other consumer packaging</v>
      </c>
    </row>
    <row r="422" spans="7:10" ht="15" thickBot="1">
      <c r="G422" s="436"/>
      <c r="H422" s="436"/>
      <c r="I422" s="433"/>
      <c r="J422" t="str">
        <v>Other non-consumer films</v>
      </c>
    </row>
    <row r="423" spans="7:10" ht="15" thickBot="1">
      <c r="G423" s="436"/>
      <c r="H423" s="436"/>
      <c r="I423" s="433"/>
      <c r="J423" t="str">
        <v>Other non-consumer packaging</v>
      </c>
    </row>
    <row r="424" spans="7:10" ht="15" thickBot="1">
      <c r="G424" s="436"/>
      <c r="H424" s="436"/>
      <c r="I424" s="433"/>
      <c r="J424" t="str">
        <v>Building textiles</v>
      </c>
    </row>
    <row r="425" spans="7:10" ht="15" thickBot="1">
      <c r="G425" s="436"/>
      <c r="H425" s="436"/>
      <c r="I425" s="433"/>
      <c r="J425" t="str">
        <v>Road side soil (micro)</v>
      </c>
    </row>
    <row r="426" spans="7:10" ht="15" thickBot="1">
      <c r="G426" s="436"/>
      <c r="H426" s="436"/>
      <c r="I426" s="433"/>
      <c r="J426" t="str">
        <v>Highway ZOAB non cleaned</v>
      </c>
    </row>
    <row r="427" spans="7:10" ht="15" thickBot="1">
      <c r="G427" s="436"/>
      <c r="H427" s="436"/>
      <c r="I427" s="433"/>
      <c r="J427" t="str">
        <v>Packaging collection</v>
      </c>
    </row>
    <row r="428" spans="7:10" ht="15" thickBot="1">
      <c r="G428" s="436"/>
      <c r="H428" s="436"/>
      <c r="I428" s="433"/>
      <c r="J428" t="str">
        <v>Packaging recycling</v>
      </c>
    </row>
    <row r="429" spans="7:10" ht="15" thickBot="1">
      <c r="G429" s="436"/>
      <c r="H429" s="436"/>
      <c r="I429" s="433"/>
      <c r="J429" t="str">
        <v>Geotextiles</v>
      </c>
    </row>
    <row r="430" spans="7:10" ht="15" thickBot="1">
      <c r="G430" s="436"/>
      <c r="H430" s="436"/>
      <c r="I430" s="433"/>
      <c r="J430" t="str">
        <v>PCCP</v>
      </c>
    </row>
    <row r="431" spans="7:10" ht="15" thickBot="1">
      <c r="G431" s="436"/>
      <c r="H431" s="436"/>
      <c r="I431" s="433"/>
      <c r="J431" t="str">
        <v>Plant protection products</v>
      </c>
    </row>
    <row r="432" spans="7:10" ht="15" thickBot="1">
      <c r="G432" s="436"/>
      <c r="H432" s="436"/>
      <c r="I432" s="433"/>
      <c r="J432" t="str">
        <v>Primary water treatment (macro)</v>
      </c>
    </row>
    <row r="433" spans="7:10" ht="15" thickBot="1">
      <c r="G433" s="436"/>
      <c r="H433" s="436"/>
      <c r="I433" s="433"/>
      <c r="J433" t="str">
        <v>Primary water treatment (micro)</v>
      </c>
    </row>
    <row r="434" spans="7:10" ht="15" thickBot="1">
      <c r="G434" s="436"/>
      <c r="H434" s="436"/>
      <c r="I434" s="433"/>
      <c r="J434" t="str">
        <v>Stormwater (macro)</v>
      </c>
    </row>
    <row r="435" spans="7:10" ht="15" thickBot="1">
      <c r="G435" s="436"/>
      <c r="H435" s="436"/>
      <c r="I435" s="433"/>
      <c r="J435" t="str">
        <v>Stormwater (micro)</v>
      </c>
    </row>
    <row r="436" spans="7:10" ht="15" thickBot="1">
      <c r="G436" s="436"/>
      <c r="H436" s="436"/>
      <c r="I436" s="433"/>
      <c r="J436" t="str">
        <v>Highway</v>
      </c>
    </row>
    <row r="437" spans="7:10" ht="15" thickBot="1">
      <c r="G437" s="436"/>
      <c r="H437" s="436"/>
      <c r="I437" s="433"/>
      <c r="J437" t="str">
        <v>Rural roads</v>
      </c>
    </row>
    <row r="438" spans="7:10" ht="15" thickBot="1">
      <c r="G438" s="436"/>
      <c r="H438" s="436"/>
      <c r="I438" s="433"/>
      <c r="J438" t="str">
        <v>Urban roads</v>
      </c>
    </row>
    <row r="439" spans="7:10" ht="15" thickBot="1">
      <c r="G439" s="436"/>
      <c r="H439" s="436"/>
      <c r="I439" s="433"/>
      <c r="J439" t="str">
        <v>Medical textiles</v>
      </c>
    </row>
    <row r="440" spans="7:10" ht="15" thickBot="1">
      <c r="G440" s="436"/>
      <c r="H440" s="436"/>
      <c r="I440" s="433"/>
      <c r="J440" t="str">
        <v>Seed coating</v>
      </c>
    </row>
    <row r="441" spans="7:10" ht="15" thickBot="1">
      <c r="G441" s="436"/>
      <c r="H441" s="436"/>
      <c r="I441" s="433"/>
      <c r="J441" t="str">
        <v>Sludge (macro)</v>
      </c>
    </row>
    <row r="442" spans="7:10" ht="15" thickBot="1">
      <c r="G442" s="436"/>
      <c r="H442" s="436"/>
      <c r="I442" s="433"/>
      <c r="J442" t="str">
        <v>Sludge (micro)</v>
      </c>
    </row>
    <row r="443" spans="7:10" ht="15" thickBot="1">
      <c r="G443" s="436"/>
      <c r="H443" s="436"/>
      <c r="I443" s="433"/>
      <c r="J443" t="str">
        <v>Road side soil (macro)</v>
      </c>
    </row>
    <row r="444" spans="7:10" ht="15" thickBot="1">
      <c r="G444" s="436"/>
      <c r="H444" s="436"/>
      <c r="I444" s="433"/>
      <c r="J444" t="str">
        <v>Road runoff</v>
      </c>
    </row>
    <row r="445" spans="7:10" ht="15" thickBot="1">
      <c r="G445" s="436"/>
      <c r="H445" s="436"/>
      <c r="I445" s="433"/>
      <c r="J445" t="str">
        <v>Mobility textiles</v>
      </c>
    </row>
    <row r="446" spans="7:10" ht="15" thickBot="1">
      <c r="G446" s="436"/>
      <c r="H446" s="436"/>
      <c r="I446" s="433"/>
      <c r="J446" t="str">
        <v>Other technical textiles</v>
      </c>
    </row>
    <row r="447" spans="7:10" ht="15" thickBot="1">
      <c r="G447" s="436"/>
      <c r="H447" s="436"/>
      <c r="I447" s="433"/>
      <c r="J447" t="str">
        <v>Technical home textiles</v>
      </c>
    </row>
    <row r="448" spans="7:10" ht="15" thickBot="1">
      <c r="G448" s="436"/>
      <c r="H448" s="436"/>
      <c r="I448" s="433"/>
      <c r="J448" t="str">
        <v>Textile coating (discarded)</v>
      </c>
    </row>
    <row r="449" spans="7:10" ht="15" thickBot="1">
      <c r="G449" s="436"/>
      <c r="H449" s="436"/>
      <c r="I449" s="433"/>
      <c r="J449" t="str">
        <v>Textile coating (in use)</v>
      </c>
    </row>
    <row r="450" spans="7:10" ht="15" thickBot="1">
      <c r="G450" s="436"/>
      <c r="H450" s="436"/>
      <c r="I450" s="433"/>
      <c r="J450" t="str">
        <v>Wastewater (macro)</v>
      </c>
    </row>
    <row r="451" spans="7:10" ht="15" thickBot="1">
      <c r="G451" s="436"/>
      <c r="H451" s="436"/>
      <c r="I451" s="433"/>
      <c r="J451" t="str">
        <v>Pellet conversion</v>
      </c>
    </row>
    <row r="452" spans="7:10" ht="15" thickBot="1">
      <c r="G452" s="436"/>
      <c r="H452" s="436"/>
      <c r="I452" s="433"/>
      <c r="J452" t="str">
        <v>Textile coating</v>
      </c>
    </row>
    <row r="453" spans="7:10" ht="15" thickBot="1">
      <c r="G453" s="436"/>
      <c r="H453" s="436"/>
      <c r="I453" s="433"/>
      <c r="J453" t="str">
        <v>Pellet losses transport land</v>
      </c>
    </row>
    <row r="454" spans="7:10" ht="15" thickBot="1">
      <c r="G454" s="436"/>
      <c r="H454" s="436"/>
      <c r="I454" s="433"/>
      <c r="J454" t="str">
        <v>Sea water (micro)</v>
      </c>
    </row>
    <row r="455" spans="7:10" ht="15" thickBot="1">
      <c r="G455" s="436"/>
      <c r="H455" s="436"/>
      <c r="I455" s="433"/>
      <c r="J455" t="str">
        <v>Pellet losses industrial plants</v>
      </c>
    </row>
    <row r="456" spans="7:10" ht="15" thickBot="1">
      <c r="G456" s="436"/>
      <c r="H456" s="436"/>
      <c r="I456" s="433"/>
      <c r="J456" t="str">
        <v>Concrete paint (prof)</v>
      </c>
    </row>
    <row r="457" spans="7:10" ht="15" thickBot="1">
      <c r="G457" s="436"/>
      <c r="H457" s="436"/>
      <c r="I457" s="433"/>
      <c r="J457" t="str">
        <v>Lacquer (prof)</v>
      </c>
    </row>
    <row r="458" spans="7:10" ht="15" thickBot="1">
      <c r="G458" s="436"/>
      <c r="H458" s="436"/>
      <c r="I458" s="433"/>
      <c r="J458" t="str">
        <v>Wood stain (prof)</v>
      </c>
    </row>
    <row r="459" spans="7:10" ht="15" thickBot="1">
      <c r="G459" s="436"/>
      <c r="H459" s="436"/>
      <c r="I459" s="433"/>
      <c r="J459" t="str">
        <v>Wall paint (prof)</v>
      </c>
    </row>
    <row r="460" spans="7:10">
      <c r="G460" s="436"/>
      <c r="H460" s="436"/>
      <c r="I460" s="433"/>
      <c r="J460" t="str">
        <v>Plaster (prof)</v>
      </c>
    </row>
    <row r="461" spans="7:10">
      <c r="G461" s="436"/>
      <c r="H461" s="436"/>
      <c r="I461" s="227"/>
      <c r="J461" t="str">
        <v>Other paint uses (prof)</v>
      </c>
    </row>
    <row r="462" spans="7:10">
      <c r="G462" s="436"/>
      <c r="H462" s="436"/>
      <c r="I462" s="227"/>
      <c r="J462" t="str">
        <v>Paints used in pre-made wooden products</v>
      </c>
    </row>
    <row r="463" spans="7:10">
      <c r="I463" s="68"/>
      <c r="J463" t="str">
        <v>Lacquer (DIY)</v>
      </c>
    </row>
    <row r="464" spans="7:10" ht="15" thickBot="1">
      <c r="I464" s="72"/>
      <c r="J464" t="str">
        <v>Wood stain (DIY)</v>
      </c>
    </row>
    <row r="465" spans="10:10">
      <c r="J465" t="str">
        <v>Wall paint (DIY)</v>
      </c>
    </row>
    <row r="466" spans="10:10">
      <c r="J466" t="str">
        <v>Plaster (DIY)</v>
      </c>
    </row>
    <row r="467" spans="10:10">
      <c r="J467" t="str">
        <v>Other paint uses (DIY)</v>
      </c>
    </row>
    <row r="468" spans="10:10">
      <c r="J468" t="str">
        <v>Ship paint (prof)</v>
      </c>
    </row>
    <row r="469" spans="10:10">
      <c r="J469" t="str">
        <v>Ship paint (recr)</v>
      </c>
    </row>
    <row r="470" spans="10:10">
      <c r="J470" t="str">
        <v>Ship paint (prof) (in use)</v>
      </c>
    </row>
    <row r="471" spans="10:10">
      <c r="J471" t="str">
        <v>Ship paint (prof) (discarded)</v>
      </c>
    </row>
    <row r="472" spans="10:10">
      <c r="J472" t="str">
        <v>Ship paint (recr) (in use)</v>
      </c>
    </row>
    <row r="473" spans="10:10">
      <c r="J473" t="str">
        <v>Ship paint (recr) (discarded)</v>
      </c>
    </row>
    <row r="474" spans="10:10">
      <c r="J474" t="str">
        <v>Concrete paint (prof) outdoor</v>
      </c>
    </row>
    <row r="475" spans="10:10">
      <c r="J475" t="str">
        <v>Concrete paint (prof) indoor</v>
      </c>
    </row>
    <row r="476" spans="10:10">
      <c r="J476" t="str">
        <v>Concrete paint (prof) outdoor (in use)</v>
      </c>
    </row>
    <row r="477" spans="10:10">
      <c r="J477" t="str">
        <v>Concrete paint (prof) outdoor (discarded)</v>
      </c>
    </row>
    <row r="478" spans="10:10">
      <c r="J478" t="str">
        <v>Concrete paint (prof) indoor (in use)</v>
      </c>
    </row>
    <row r="479" spans="10:10">
      <c r="J479" t="str">
        <v>Concrete paint (prof) indoor (discarded)</v>
      </c>
    </row>
    <row r="480" spans="10:10">
      <c r="J480" t="str">
        <v>Lacquer (prof) outdoor</v>
      </c>
    </row>
    <row r="481" spans="10:10">
      <c r="J481" t="str">
        <v>Lacquer (prof) indoor</v>
      </c>
    </row>
    <row r="482" spans="10:10">
      <c r="J482" t="str">
        <v>Lacquer (prof) outdoor (in use)</v>
      </c>
    </row>
    <row r="483" spans="10:10">
      <c r="J483" t="str">
        <v>Lacquer (prof) outdoor (discarded)</v>
      </c>
    </row>
    <row r="484" spans="10:10">
      <c r="J484" t="str">
        <v>Lacquer (prof) indoor (in use)</v>
      </c>
    </row>
    <row r="485" spans="10:10">
      <c r="J485" t="str">
        <v>Lacquer (prof) indoor (discarded)</v>
      </c>
    </row>
    <row r="486" spans="10:10">
      <c r="J486" t="str">
        <v>Wood stain (prof) outdoor</v>
      </c>
    </row>
    <row r="487" spans="10:10">
      <c r="J487" t="str">
        <v>Wood stain (prof) indoor</v>
      </c>
    </row>
    <row r="488" spans="10:10">
      <c r="J488" t="str">
        <v>Wood stain (prof) outdoor (in use)</v>
      </c>
    </row>
    <row r="489" spans="10:10">
      <c r="J489" t="str">
        <v>Wood stain (prof) outdoor (discarded)</v>
      </c>
    </row>
    <row r="490" spans="10:10">
      <c r="J490" t="str">
        <v>Wood stain (prof) indoor (in use)</v>
      </c>
    </row>
    <row r="491" spans="10:10">
      <c r="J491" t="str">
        <v>Wood stain (prof) indoor (discarded)</v>
      </c>
    </row>
    <row r="492" spans="10:10">
      <c r="J492" t="str">
        <v>Wall paint (prof) outdoor</v>
      </c>
    </row>
    <row r="493" spans="10:10">
      <c r="J493" t="str">
        <v>Wall paint (prof) indoor</v>
      </c>
    </row>
    <row r="494" spans="10:10">
      <c r="J494" t="str">
        <v>Wall paint (prof) outdoor (in use)</v>
      </c>
    </row>
    <row r="495" spans="10:10">
      <c r="J495" t="str">
        <v>Wall paint (prof) outdoor (discarded)</v>
      </c>
    </row>
    <row r="496" spans="10:10">
      <c r="J496" t="str">
        <v>Wall paint (prof) indoor (in use)</v>
      </c>
    </row>
    <row r="497" spans="10:10">
      <c r="J497" t="str">
        <v>Wall paint (prof) indoor (discarded)</v>
      </c>
    </row>
    <row r="498" spans="10:10">
      <c r="J498" t="str">
        <v>Plaster (prof) outdoor</v>
      </c>
    </row>
    <row r="499" spans="10:10">
      <c r="J499" t="str">
        <v>Plaster (prof) indoor</v>
      </c>
    </row>
    <row r="500" spans="10:10">
      <c r="J500" t="str">
        <v>Plaster (prof) outdoor (in use)</v>
      </c>
    </row>
    <row r="501" spans="10:10">
      <c r="J501" t="str">
        <v>Plaster (prof) outdoor (discarded)</v>
      </c>
    </row>
    <row r="502" spans="10:10">
      <c r="J502" t="str">
        <v>Plaster (prof) indoor (in use)</v>
      </c>
    </row>
    <row r="503" spans="10:10">
      <c r="J503" t="str">
        <v>Plaster (prof) indoor (discarded)</v>
      </c>
    </row>
    <row r="504" spans="10:10">
      <c r="J504" t="str">
        <v>Other paint uses (prof) outdoor</v>
      </c>
    </row>
    <row r="505" spans="10:10">
      <c r="J505" t="str">
        <v>Other paint uses (prof) indoor</v>
      </c>
    </row>
    <row r="506" spans="10:10">
      <c r="J506" t="str">
        <v>Other paint uses (prof) outdoor (in use)</v>
      </c>
    </row>
    <row r="507" spans="10:10">
      <c r="J507" t="str">
        <v>Other paint uses (prof) outdoor (discarded)</v>
      </c>
    </row>
    <row r="508" spans="10:10">
      <c r="J508" t="str">
        <v>Other paint uses (prof) indoor (in use)</v>
      </c>
    </row>
    <row r="509" spans="10:10">
      <c r="J509" t="str">
        <v>Other paint uses (prof) indoor (discarded)</v>
      </c>
    </row>
    <row r="510" spans="10:10">
      <c r="J510" t="str">
        <v>Paints used in pre-made wooden products outdoor</v>
      </c>
    </row>
    <row r="511" spans="10:10">
      <c r="J511" t="str">
        <v>Paints used in pre-made wooden products indoor</v>
      </c>
    </row>
    <row r="512" spans="10:10">
      <c r="J512" t="str">
        <v>Paints used in pre-made wooden products outdoor (in use)</v>
      </c>
    </row>
    <row r="513" spans="10:10">
      <c r="J513" t="str">
        <v>Paints used in pre-made wooden products outdoor (discarded)</v>
      </c>
    </row>
    <row r="514" spans="10:10">
      <c r="J514" t="str">
        <v>Paints used in pre-made wooden products indoor (in use)</v>
      </c>
    </row>
    <row r="515" spans="10:10">
      <c r="J515" t="str">
        <v>Paints used in pre-made wooden products indoor (discarded)</v>
      </c>
    </row>
    <row r="516" spans="10:10">
      <c r="J516" t="str">
        <v>Lacquer (DIY) outdoor</v>
      </c>
    </row>
    <row r="517" spans="10:10">
      <c r="J517" t="str">
        <v>Lacquer (DIY) indoor</v>
      </c>
    </row>
    <row r="518" spans="10:10">
      <c r="J518" t="str">
        <v>Lacquer (DIY) outdoor (in use)</v>
      </c>
    </row>
    <row r="519" spans="10:10">
      <c r="J519" t="str">
        <v>Lacquer (DIY) outdoor (discarded)</v>
      </c>
    </row>
    <row r="520" spans="10:10">
      <c r="J520" t="str">
        <v>Lacquer (DIY) indoor (in use)</v>
      </c>
    </row>
    <row r="521" spans="10:10">
      <c r="J521" t="str">
        <v>Lacquer (DIY) indoor (discarded)</v>
      </c>
    </row>
    <row r="522" spans="10:10">
      <c r="J522" t="str">
        <v>Wood stain (DIY) outdoor</v>
      </c>
    </row>
    <row r="523" spans="10:10">
      <c r="J523" t="str">
        <v>Wood stain (DIY) indoor</v>
      </c>
    </row>
    <row r="524" spans="10:10">
      <c r="J524" t="str">
        <v>Wood stain (DIY) outdoor (in use)</v>
      </c>
    </row>
    <row r="525" spans="10:10">
      <c r="J525" t="str">
        <v>Wood stain (DIY) outdoor (discarded)</v>
      </c>
    </row>
    <row r="526" spans="10:10">
      <c r="J526" t="str">
        <v>Wood stain (DIY) indoor (in use)</v>
      </c>
    </row>
    <row r="527" spans="10:10">
      <c r="J527" t="str">
        <v>Wood stain (DIY) indoor (discarded)</v>
      </c>
    </row>
    <row r="528" spans="10:10">
      <c r="J528" t="str">
        <v>Wall paint (DIY) outdoor</v>
      </c>
    </row>
    <row r="529" spans="10:10">
      <c r="J529" t="str">
        <v>Wall paint (DIY) indoor</v>
      </c>
    </row>
    <row r="530" spans="10:10">
      <c r="J530" t="str">
        <v>Wall paint (DIY) outdoor (in use)</v>
      </c>
    </row>
    <row r="531" spans="10:10">
      <c r="J531" t="str">
        <v>Wall paint (DIY) outdoor (discarded)</v>
      </c>
    </row>
    <row r="532" spans="10:10">
      <c r="J532" t="str">
        <v>Wall paint (DIY) indoor applied</v>
      </c>
    </row>
    <row r="533" spans="10:10">
      <c r="J533" t="str">
        <v>Wall paint (DIY) indoor on brush</v>
      </c>
    </row>
    <row r="534" spans="10:10">
      <c r="J534" t="str">
        <v>Wall paint (DIY) indoor applied (in use)</v>
      </c>
    </row>
    <row r="535" spans="10:10">
      <c r="J535" t="str">
        <v>Wall paint (DIY) indoor applied (discarded)</v>
      </c>
    </row>
    <row r="536" spans="10:10">
      <c r="J536" t="str">
        <v>Plaster (DIY) outdoor</v>
      </c>
    </row>
    <row r="537" spans="10:10">
      <c r="J537" t="str">
        <v>Plaster (DIY) indoor</v>
      </c>
    </row>
    <row r="538" spans="10:10">
      <c r="J538" t="str">
        <v>Plaster (DIY) outdoor (in use)</v>
      </c>
    </row>
    <row r="539" spans="10:10">
      <c r="J539" t="str">
        <v>Plaster (DIY) outdoor (discarded)</v>
      </c>
    </row>
    <row r="540" spans="10:10">
      <c r="J540" t="str">
        <v>Plaster (DIY) indoor (in use)</v>
      </c>
    </row>
    <row r="541" spans="10:10">
      <c r="J541" t="str">
        <v>Plaster (DIY) indoor (discarded)</v>
      </c>
    </row>
    <row r="542" spans="10:10">
      <c r="J542" t="str">
        <v>Other paint uses (DIY) outdoor</v>
      </c>
    </row>
    <row r="543" spans="10:10">
      <c r="J543" t="str">
        <v>Other paint uses (DIY) indoor</v>
      </c>
    </row>
    <row r="544" spans="10:10">
      <c r="J544" t="str">
        <v>Other paint uses (DIY) outdoor (in use)</v>
      </c>
    </row>
    <row r="545" spans="10:10">
      <c r="J545" t="str">
        <v>Other paint uses (DIY) outdoor (discarded)</v>
      </c>
    </row>
    <row r="546" spans="10:10">
      <c r="J546" t="str">
        <v>Other paint uses (DIY) indoor (in use)</v>
      </c>
    </row>
    <row r="547" spans="10:10">
      <c r="J547" t="str">
        <v>Other paint uses (DIY) indoor (discarded)</v>
      </c>
    </row>
    <row r="548" spans="10:10">
      <c r="J548" t="str">
        <v>Clothing (product sector)</v>
      </c>
    </row>
    <row r="549" spans="10:10">
      <c r="J549" t="str">
        <v>Apparel accessories</v>
      </c>
    </row>
    <row r="550" spans="10:10">
      <c r="J550" t="str">
        <v>Boots</v>
      </c>
    </row>
    <row r="551" spans="10:10">
      <c r="J551" t="str">
        <v>Closed-toed shoes</v>
      </c>
    </row>
    <row r="552" spans="10:10">
      <c r="J552" t="str">
        <v>Dresses skirts and jumpsuits</v>
      </c>
    </row>
    <row r="553" spans="10:10">
      <c r="J553" t="str">
        <v>Jackets and coats</v>
      </c>
    </row>
    <row r="554" spans="10:10">
      <c r="J554" t="str">
        <v>Leggings stockings tights and socks</v>
      </c>
    </row>
    <row r="555" spans="10:10">
      <c r="J555" t="str">
        <v>Open-toed shoes</v>
      </c>
    </row>
    <row r="556" spans="10:10">
      <c r="J556" t="str">
        <v>Pants and shorts</v>
      </c>
    </row>
    <row r="557" spans="10:10">
      <c r="J557" t="str">
        <v>Shirts and blouses</v>
      </c>
    </row>
    <row r="558" spans="10:10">
      <c r="J558" t="str">
        <v>Sweaters and midlayers</v>
      </c>
    </row>
    <row r="559" spans="10:10">
      <c r="J559" t="str">
        <v>Swimwear</v>
      </c>
    </row>
    <row r="560" spans="10:10">
      <c r="J560" t="str">
        <v>T-shirts</v>
      </c>
    </row>
    <row r="561" spans="10:10">
      <c r="J561" t="str">
        <v>Underwear</v>
      </c>
    </row>
    <row r="562" spans="10:10">
      <c r="J562" t="str">
        <v>Clothing washing machine (with external filter)</v>
      </c>
    </row>
    <row r="563" spans="10:10">
      <c r="J563" t="str">
        <v>Clothing washing machine (without external filter)</v>
      </c>
    </row>
    <row r="564" spans="10:10">
      <c r="J564" t="str">
        <v>Clothing washing by hand</v>
      </c>
    </row>
    <row r="565" spans="10:10">
      <c r="J565" t="str">
        <v>Clothing indoor drying</v>
      </c>
    </row>
    <row r="566" spans="10:10">
      <c r="J566" t="str">
        <v>Clothing outdoor drying</v>
      </c>
    </row>
    <row r="567" spans="10:10">
      <c r="J567" t="str">
        <v>Clothing drying VTD</v>
      </c>
    </row>
    <row r="568" spans="10:10">
      <c r="J568" t="str">
        <v>Clothing drying CHPTD</v>
      </c>
    </row>
    <row r="569" spans="10:10">
      <c r="J569" t="str">
        <v>Clothing drying CHETD</v>
      </c>
    </row>
    <row r="570" spans="10:10">
      <c r="J570" t="str">
        <v>Clothing washer-dryer combo</v>
      </c>
    </row>
    <row r="571" spans="10:10">
      <c r="J571" t="str">
        <v>Lint filter (VTD)</v>
      </c>
    </row>
    <row r="572" spans="10:10">
      <c r="J572" t="str">
        <v>Lint filter (CHPTD)</v>
      </c>
    </row>
    <row r="573" spans="10:10">
      <c r="J573" t="str">
        <v>Lint filter (CHETD)</v>
      </c>
    </row>
    <row r="574" spans="10:10">
      <c r="J574" t="str">
        <v>Clean lint filter by hand</v>
      </c>
    </row>
    <row r="575" spans="10:10">
      <c r="J575" t="str">
        <v>Clean lint filter under running water</v>
      </c>
    </row>
    <row r="576" spans="10:10">
      <c r="J576" t="str">
        <v>Manufacturing of clothing</v>
      </c>
    </row>
    <row r="577" spans="10:10">
      <c r="J577" t="str">
        <v>Textile recycling</v>
      </c>
    </row>
    <row r="578" spans="10:10">
      <c r="J578" t="str">
        <v>Home textile waste collection</v>
      </c>
    </row>
    <row r="579" spans="10:10">
      <c r="J579" t="str">
        <v>Technical textile waste collection</v>
      </c>
    </row>
    <row r="580" spans="10:10">
      <c r="J580" t="str">
        <v>Textile reuse</v>
      </c>
    </row>
    <row r="581" spans="10:10">
      <c r="J581" t="str">
        <v>Footwear reuse</v>
      </c>
    </row>
    <row r="582" spans="10:10">
      <c r="J582" t="str">
        <v>Clothing not washed (in use)</v>
      </c>
    </row>
    <row r="583" spans="10:10">
      <c r="J583" t="str">
        <v>Clothing not washed (discarded)</v>
      </c>
    </row>
    <row r="584" spans="10:10">
      <c r="J584" t="str">
        <v>Clothing rarely washed (in use)</v>
      </c>
    </row>
    <row r="585" spans="10:10">
      <c r="J585" t="str">
        <v>Clothing rarely washed (discarded)</v>
      </c>
    </row>
    <row r="586" spans="10:10">
      <c r="J586" t="str">
        <v>Clothing washed (in use)</v>
      </c>
    </row>
    <row r="587" spans="10:10">
      <c r="J587" t="str">
        <v>Clothing washed (discarded)</v>
      </c>
    </row>
    <row r="588" spans="10:10">
      <c r="J588" t="str">
        <v>Clothing wearing</v>
      </c>
    </row>
    <row r="589" spans="10:10">
      <c r="J589" t="str">
        <v>Clothing washing</v>
      </c>
    </row>
    <row r="590" spans="10:10">
      <c r="J590" t="str">
        <v>Clothing drying</v>
      </c>
    </row>
    <row r="591" spans="10:10">
      <c r="J591" t="str">
        <v>Clothing waste collection</v>
      </c>
    </row>
    <row r="592" spans="10:10">
      <c r="J592" t="str">
        <v>Footwear waste collection</v>
      </c>
    </row>
    <row r="593" spans="10:10">
      <c r="J593" t="str">
        <v>Footwear wearing (soles)</v>
      </c>
    </row>
    <row r="594" spans="10:10">
      <c r="J594" t="str">
        <v>Footwear wearing (uppers)</v>
      </c>
    </row>
    <row r="595" spans="10:10">
      <c r="J595" t="str">
        <v>On-site sewage facility (micro)</v>
      </c>
    </row>
    <row r="596" spans="10:10">
      <c r="J596" t="str">
        <v>Secondary water treatment (micro)</v>
      </c>
    </row>
    <row r="597" spans="10:10">
      <c r="J597" t="str">
        <v>Tertiary water treatment (micro)</v>
      </c>
    </row>
    <row r="598" spans="10:10">
      <c r="J598" t="str">
        <v>Secondary water treatment (macro)</v>
      </c>
    </row>
    <row r="599" spans="10:10">
      <c r="J599" t="str">
        <v>Tertiary water treatment (macro)</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88">
    <cfRule type="containsText" dxfId="19" priority="1" operator="containsText" text="stock">
      <formula>NOT(ISERROR(SEARCH("stock",B2)))</formula>
    </cfRule>
    <cfRule type="containsText" dxfId="18" priority="2" operator="containsText" text="Not found">
      <formula>NOT(ISERROR(SEARCH("Not found",B2)))</formula>
    </cfRule>
    <cfRule type="containsText" dxfId="17" priority="3" operator="containsText" text="Sink">
      <formula>NOT(ISERROR(SEARCH("Sink",B2)))</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4.4"/>
  <cols>
    <col min="1" max="1" width="38.5546875" style="1" customWidth="1"/>
    <col min="2" max="2" width="20.5546875" bestFit="1" customWidth="1"/>
    <col min="3" max="3" width="55.33203125" bestFit="1" customWidth="1"/>
    <col min="4" max="4" width="32.88671875" style="6" customWidth="1"/>
    <col min="5" max="5" width="44.88671875" style="6" customWidth="1"/>
    <col min="6" max="6" width="50.6640625" style="6" customWidth="1"/>
  </cols>
  <sheetData>
    <row r="1" spans="1:6" s="4" customFormat="1" ht="30" customHeight="1" thickBot="1">
      <c r="A1" s="600" t="s">
        <v>1399</v>
      </c>
      <c r="B1" s="600" t="s">
        <v>1400</v>
      </c>
      <c r="C1" s="600" t="s">
        <v>1401</v>
      </c>
      <c r="D1" s="600" t="s">
        <v>1402</v>
      </c>
      <c r="E1" s="600"/>
      <c r="F1" s="600"/>
    </row>
    <row r="2" spans="1:6" s="16" customFormat="1" ht="30" customHeight="1" thickBot="1">
      <c r="A2" s="58" t="s">
        <v>1391</v>
      </c>
      <c r="B2" s="65" t="s">
        <v>1392</v>
      </c>
      <c r="C2" s="58" t="s">
        <v>1393</v>
      </c>
      <c r="D2" s="58" t="s">
        <v>1403</v>
      </c>
      <c r="E2" s="144" t="s">
        <v>1404</v>
      </c>
      <c r="F2" s="65" t="s">
        <v>1405</v>
      </c>
    </row>
    <row r="3" spans="1:6">
      <c r="A3" s="564" t="s">
        <v>1047</v>
      </c>
      <c r="B3" s="95" t="s">
        <v>1406</v>
      </c>
      <c r="C3" s="321" t="s">
        <v>1407</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963</v>
      </c>
      <c r="B4" s="364" t="s">
        <v>1406</v>
      </c>
      <c r="C4" s="307" t="s">
        <v>1408</v>
      </c>
      <c r="D4" s="301" t="str">
        <f t="shared" si="0"/>
        <v>OK</v>
      </c>
      <c r="E4" s="37"/>
      <c r="F4" s="602" t="str">
        <f>Lifetimes!C1</f>
        <v>AgriculturalFilmsDis</v>
      </c>
    </row>
    <row r="5" spans="1:6">
      <c r="A5" s="565" t="s">
        <v>138</v>
      </c>
      <c r="B5" s="364" t="s">
        <v>1409</v>
      </c>
      <c r="C5" s="307" t="s">
        <v>1156</v>
      </c>
      <c r="D5" s="301" t="str">
        <f t="shared" si="0"/>
        <v>OK</v>
      </c>
      <c r="E5" s="37"/>
      <c r="F5" s="602" t="str">
        <f>Lifetimes!D1</f>
        <v>AgriculturalPackagingBottles</v>
      </c>
    </row>
    <row r="6" spans="1:6">
      <c r="A6" s="565" t="s">
        <v>142</v>
      </c>
      <c r="B6" s="364" t="s">
        <v>1409</v>
      </c>
      <c r="C6" s="307" t="s">
        <v>1159</v>
      </c>
      <c r="D6" s="301" t="str">
        <f t="shared" si="0"/>
        <v>OK</v>
      </c>
      <c r="E6" s="37"/>
      <c r="F6" s="602" t="str">
        <f>Lifetimes!E1</f>
        <v>AgriculturalPackagingFilms</v>
      </c>
    </row>
    <row r="7" spans="1:6">
      <c r="A7" s="566" t="s">
        <v>1049</v>
      </c>
      <c r="B7" s="68" t="s">
        <v>1406</v>
      </c>
      <c r="C7" s="307" t="s">
        <v>1410</v>
      </c>
      <c r="D7" s="301" t="str">
        <f t="shared" si="0"/>
        <v>OK</v>
      </c>
      <c r="E7" s="37"/>
      <c r="F7" s="602" t="str">
        <f>Lifetimes!F1</f>
        <v>AgriculturalPipesIU</v>
      </c>
    </row>
    <row r="8" spans="1:6">
      <c r="A8" s="325" t="s">
        <v>144</v>
      </c>
      <c r="B8" s="68" t="s">
        <v>1406</v>
      </c>
      <c r="C8" s="307" t="s">
        <v>1411</v>
      </c>
      <c r="D8" s="301" t="str">
        <f t="shared" si="0"/>
        <v>OK</v>
      </c>
      <c r="E8" s="37"/>
      <c r="F8" s="602" t="str">
        <f>Lifetimes!G1</f>
        <v>AgriculturalPipesDis</v>
      </c>
    </row>
    <row r="9" spans="1:6">
      <c r="A9" s="325" t="s">
        <v>146</v>
      </c>
      <c r="B9" s="68" t="s">
        <v>1412</v>
      </c>
      <c r="C9" s="307" t="s">
        <v>1413</v>
      </c>
      <c r="D9" s="301" t="str">
        <f t="shared" si="0"/>
        <v>OK</v>
      </c>
      <c r="E9" s="37"/>
      <c r="F9" s="602" t="str">
        <f>Lifetimes!H1</f>
        <v>AgriculturalPPP</v>
      </c>
    </row>
    <row r="10" spans="1:6">
      <c r="A10" s="325" t="s">
        <v>155</v>
      </c>
      <c r="B10" s="68" t="s">
        <v>1412</v>
      </c>
      <c r="C10" s="307" t="s">
        <v>1414</v>
      </c>
      <c r="D10" s="301" t="str">
        <f t="shared" si="0"/>
        <v>OK</v>
      </c>
      <c r="E10" s="37"/>
      <c r="F10" s="602" t="str">
        <f>Lifetimes!I1</f>
        <v>BuildingPackagingFilms</v>
      </c>
    </row>
    <row r="11" spans="1:6">
      <c r="A11" s="325" t="s">
        <v>165</v>
      </c>
      <c r="B11" s="68" t="s">
        <v>1406</v>
      </c>
      <c r="C11" s="307" t="s">
        <v>1415</v>
      </c>
      <c r="D11" s="301" t="str">
        <f t="shared" si="0"/>
        <v>OK</v>
      </c>
      <c r="E11" s="37"/>
      <c r="F11" s="602" t="str">
        <f>Lifetimes!J1</f>
        <v>ConsumerBags</v>
      </c>
    </row>
    <row r="12" spans="1:6">
      <c r="A12" s="325" t="s">
        <v>950</v>
      </c>
      <c r="B12" s="68" t="s">
        <v>1406</v>
      </c>
      <c r="C12" s="307" t="s">
        <v>950</v>
      </c>
      <c r="D12" s="301" t="str">
        <f t="shared" si="0"/>
        <v>OK</v>
      </c>
      <c r="E12" s="37"/>
      <c r="F12" s="602" t="str">
        <f>Lifetimes!K1</f>
        <v>ConsumerBottles</v>
      </c>
    </row>
    <row r="13" spans="1:6">
      <c r="A13" s="325" t="s">
        <v>152</v>
      </c>
      <c r="B13" s="68" t="s">
        <v>1406</v>
      </c>
      <c r="C13" s="307" t="s">
        <v>152</v>
      </c>
      <c r="D13" s="301" t="str">
        <f t="shared" si="0"/>
        <v>OK</v>
      </c>
      <c r="E13" s="37"/>
      <c r="F13" s="602" t="str">
        <f>Lifetimes!L1</f>
        <v>ConsumerFilms</v>
      </c>
    </row>
    <row r="14" spans="1:6">
      <c r="A14" s="325" t="s">
        <v>1170</v>
      </c>
      <c r="B14" s="68" t="s">
        <v>1406</v>
      </c>
      <c r="C14" s="307" t="s">
        <v>1416</v>
      </c>
      <c r="D14" s="301" t="str">
        <f t="shared" si="0"/>
        <v>OK</v>
      </c>
      <c r="E14" s="37"/>
      <c r="F14" s="602" t="str">
        <f>Lifetimes!M1</f>
        <v>ConsumerOther</v>
      </c>
    </row>
    <row r="15" spans="1:6">
      <c r="A15" s="325" t="s">
        <v>1417</v>
      </c>
      <c r="B15" s="68" t="s">
        <v>1406</v>
      </c>
      <c r="C15" s="307" t="s">
        <v>1417</v>
      </c>
      <c r="D15" s="301" t="str">
        <f t="shared" si="0"/>
        <v>OK</v>
      </c>
      <c r="E15" s="37"/>
      <c r="F15" s="602" t="str">
        <f>Lifetimes!N1</f>
        <v>Cosmetics</v>
      </c>
    </row>
    <row r="16" spans="1:6">
      <c r="A16" s="325" t="s">
        <v>1418</v>
      </c>
      <c r="B16" s="68" t="s">
        <v>1406</v>
      </c>
      <c r="C16" s="307" t="s">
        <v>1419</v>
      </c>
      <c r="D16" s="301" t="str">
        <f t="shared" si="0"/>
        <v>OK</v>
      </c>
      <c r="E16" s="37"/>
      <c r="F16" s="602" t="str">
        <f>Lifetimes!O1</f>
        <v>Household</v>
      </c>
    </row>
    <row r="17" spans="1:6">
      <c r="A17" s="325" t="s">
        <v>1169</v>
      </c>
      <c r="B17" s="68" t="s">
        <v>1406</v>
      </c>
      <c r="C17" s="307" t="s">
        <v>1420</v>
      </c>
      <c r="D17" s="301" t="str">
        <f t="shared" si="0"/>
        <v>OK</v>
      </c>
      <c r="E17" s="37"/>
      <c r="F17" s="602" t="str">
        <f>Lifetimes!P1</f>
        <v>NonConsumerBags</v>
      </c>
    </row>
    <row r="18" spans="1:6">
      <c r="A18" s="325" t="s">
        <v>1421</v>
      </c>
      <c r="B18" s="68" t="s">
        <v>1412</v>
      </c>
      <c r="C18" s="307" t="s">
        <v>1422</v>
      </c>
      <c r="D18" s="301" t="str">
        <f t="shared" si="0"/>
        <v>OK</v>
      </c>
      <c r="E18" s="37"/>
      <c r="F18" s="602" t="str">
        <f>Lifetimes!Q1</f>
        <v>NonConsumerOther</v>
      </c>
    </row>
    <row r="19" spans="1:6">
      <c r="A19" s="325" t="s">
        <v>1423</v>
      </c>
      <c r="B19" s="68" t="s">
        <v>1406</v>
      </c>
      <c r="C19" s="307" t="s">
        <v>1424</v>
      </c>
      <c r="D19" s="301" t="str">
        <f t="shared" si="0"/>
        <v>OK</v>
      </c>
      <c r="E19" s="37"/>
      <c r="F19" s="602" t="str">
        <f>Lifetimes!R1</f>
        <v>OtherNonConsumerFilms</v>
      </c>
    </row>
    <row r="20" spans="1:6">
      <c r="A20" s="325" t="s">
        <v>183</v>
      </c>
      <c r="B20" s="68" t="s">
        <v>1406</v>
      </c>
      <c r="C20" s="307" t="s">
        <v>1160</v>
      </c>
      <c r="D20" s="301" t="str">
        <f t="shared" si="0"/>
        <v>Change Type of compartment to Stock</v>
      </c>
      <c r="E20" s="37" t="s">
        <v>1425</v>
      </c>
      <c r="F20" s="602" t="str">
        <f>Lifetimes!S1</f>
        <v>OtherOther</v>
      </c>
    </row>
    <row r="21" spans="1:6">
      <c r="A21" s="325" t="s">
        <v>170</v>
      </c>
      <c r="B21" s="68" t="s">
        <v>1406</v>
      </c>
      <c r="C21" s="307" t="s">
        <v>1426</v>
      </c>
      <c r="D21" s="301" t="str">
        <f t="shared" si="0"/>
        <v>OK</v>
      </c>
      <c r="E21" s="37"/>
      <c r="F21" s="602" t="str">
        <f>Lifetimes!T1</f>
        <v>PipesDucts</v>
      </c>
    </row>
    <row r="22" spans="1:6">
      <c r="A22" s="325" t="s">
        <v>1427</v>
      </c>
      <c r="B22" s="68" t="s">
        <v>1406</v>
      </c>
      <c r="C22" s="307" t="s">
        <v>1428</v>
      </c>
      <c r="D22" s="301" t="str">
        <f t="shared" si="0"/>
        <v>OK</v>
      </c>
      <c r="E22" s="37"/>
      <c r="F22" s="602" t="str">
        <f>Lifetimes!U1</f>
        <v>OtherOilGas</v>
      </c>
    </row>
    <row r="23" spans="1:6">
      <c r="A23" s="325" t="s">
        <v>108</v>
      </c>
      <c r="B23" s="68" t="s">
        <v>1406</v>
      </c>
      <c r="C23" s="567" t="s">
        <v>1429</v>
      </c>
      <c r="D23" s="301" t="str">
        <f t="shared" si="0"/>
        <v>OK</v>
      </c>
      <c r="E23" s="37"/>
      <c r="F23" s="602" t="str">
        <f>Lifetimes!V1</f>
        <v>InfillSportsFieldDis</v>
      </c>
    </row>
    <row r="24" spans="1:6">
      <c r="A24" s="325" t="s">
        <v>1430</v>
      </c>
      <c r="B24" s="68" t="s">
        <v>1406</v>
      </c>
      <c r="C24" s="307" t="s">
        <v>1431</v>
      </c>
      <c r="D24" s="301" t="str">
        <f t="shared" si="0"/>
        <v>OK</v>
      </c>
      <c r="E24" s="37"/>
      <c r="F24" s="602" t="str">
        <f>Lifetimes!W1</f>
        <v>InfillSportsFieldU</v>
      </c>
    </row>
    <row r="25" spans="1:6">
      <c r="A25" s="325" t="s">
        <v>1432</v>
      </c>
      <c r="B25" s="68" t="s">
        <v>1406</v>
      </c>
      <c r="C25" s="307" t="s">
        <v>1433</v>
      </c>
      <c r="D25" s="301" t="str">
        <f t="shared" si="0"/>
        <v>OK</v>
      </c>
      <c r="E25" s="37"/>
      <c r="F25" s="602" t="str">
        <f>Lifetimes!AE1</f>
        <v>ClothingDis</v>
      </c>
    </row>
    <row r="26" spans="1:6">
      <c r="A26" s="325" t="s">
        <v>1434</v>
      </c>
      <c r="B26" s="68" t="s">
        <v>1406</v>
      </c>
      <c r="C26" s="307" t="s">
        <v>1435</v>
      </c>
      <c r="D26" s="301" t="str">
        <f t="shared" si="0"/>
        <v>OK</v>
      </c>
      <c r="E26" s="37"/>
      <c r="F26" s="602" t="str">
        <f>Lifetimes!AF1</f>
        <v>ClothingIUWearTear</v>
      </c>
    </row>
    <row r="27" spans="1:6">
      <c r="A27" s="325" t="s">
        <v>149</v>
      </c>
      <c r="B27" s="68" t="s">
        <v>1406</v>
      </c>
      <c r="C27" s="307" t="s">
        <v>1436</v>
      </c>
      <c r="D27" s="301" t="str">
        <f t="shared" si="0"/>
        <v>OK</v>
      </c>
      <c r="E27" s="37"/>
      <c r="F27" s="602" t="str">
        <f>Lifetimes!AG1</f>
        <v>ClothingIUWashDry</v>
      </c>
    </row>
    <row r="28" spans="1:6">
      <c r="A28" s="325" t="s">
        <v>154</v>
      </c>
      <c r="B28" s="68" t="s">
        <v>1406</v>
      </c>
      <c r="C28" s="307" t="s">
        <v>1437</v>
      </c>
      <c r="D28" s="301" t="str">
        <f t="shared" si="0"/>
        <v>OK</v>
      </c>
      <c r="E28" s="37"/>
      <c r="F28" s="602" t="str">
        <f>Lifetimes!AH1</f>
        <v>HomeTextilesDis</v>
      </c>
    </row>
    <row r="29" spans="1:6">
      <c r="A29" s="325" t="s">
        <v>1438</v>
      </c>
      <c r="B29" s="68" t="s">
        <v>1406</v>
      </c>
      <c r="C29" s="307" t="s">
        <v>1439</v>
      </c>
      <c r="D29" s="301" t="str">
        <f t="shared" si="0"/>
        <v>OK</v>
      </c>
      <c r="E29" s="37"/>
      <c r="F29" s="602" t="str">
        <f>Lifetimes!AI1</f>
        <v>HomeTextilesIU</v>
      </c>
    </row>
    <row r="30" spans="1:6">
      <c r="A30" s="325" t="s">
        <v>1440</v>
      </c>
      <c r="B30" s="68" t="s">
        <v>1406</v>
      </c>
      <c r="C30" s="307" t="s">
        <v>1441</v>
      </c>
      <c r="D30" s="301" t="str">
        <f t="shared" si="0"/>
        <v>OK</v>
      </c>
      <c r="E30" s="37"/>
      <c r="F30" s="602" t="str">
        <f>Lifetimes!AJ1</f>
        <v>TechHomeTextilesDis</v>
      </c>
    </row>
    <row r="31" spans="1:6">
      <c r="A31" s="325" t="s">
        <v>218</v>
      </c>
      <c r="B31" s="68" t="s">
        <v>1406</v>
      </c>
      <c r="C31" s="307" t="s">
        <v>1442</v>
      </c>
      <c r="D31" s="301" t="str">
        <f t="shared" si="0"/>
        <v>OK</v>
      </c>
      <c r="E31" s="37"/>
      <c r="F31" s="602" t="str">
        <f>Lifetimes!AK1</f>
        <v>TechHomeTextilesIU</v>
      </c>
    </row>
    <row r="32" spans="1:6">
      <c r="A32" s="325" t="s">
        <v>175</v>
      </c>
      <c r="B32" s="68" t="s">
        <v>1406</v>
      </c>
      <c r="C32" s="307" t="s">
        <v>1443</v>
      </c>
      <c r="D32" s="301" t="str">
        <f t="shared" si="0"/>
        <v>OK</v>
      </c>
      <c r="E32" s="37"/>
      <c r="F32" s="602" t="str">
        <f>Lifetimes!AL1</f>
        <v>MedicalTextiles</v>
      </c>
    </row>
    <row r="33" spans="1:6">
      <c r="A33" s="325" t="s">
        <v>1167</v>
      </c>
      <c r="B33" s="68" t="s">
        <v>1406</v>
      </c>
      <c r="C33" s="307" t="s">
        <v>1444</v>
      </c>
      <c r="D33" s="301" t="str">
        <f t="shared" si="0"/>
        <v>OK</v>
      </c>
      <c r="E33" s="37"/>
      <c r="F33" s="602" t="str">
        <f>Lifetimes!AM1</f>
        <v>AgrotextilesDis</v>
      </c>
    </row>
    <row r="34" spans="1:6">
      <c r="A34" s="325" t="s">
        <v>1445</v>
      </c>
      <c r="B34" s="68" t="s">
        <v>1406</v>
      </c>
      <c r="C34" s="307" t="s">
        <v>1446</v>
      </c>
      <c r="D34" s="301" t="str">
        <f t="shared" si="0"/>
        <v>OK</v>
      </c>
      <c r="E34" s="37"/>
      <c r="F34" s="602" t="str">
        <f>Lifetimes!AN1</f>
        <v>AgrotextilesIU</v>
      </c>
    </row>
    <row r="35" spans="1:6">
      <c r="A35" s="325" t="s">
        <v>1447</v>
      </c>
      <c r="B35" s="68" t="s">
        <v>1406</v>
      </c>
      <c r="C35" s="307" t="s">
        <v>1254</v>
      </c>
      <c r="D35" s="301" t="str">
        <f t="shared" ref="D35:D66" si="1">IF(B35=IF(COUNTIF($F$5:$F$209,C35),"Stock","Flow/Sink"),"OK",IF(B35="Stock","Compartment missing in Lifetimes_pairs",IF(IF(COUNTIF($F$5:$F$161,C35),"Stock","Flow/Sink")="Stock","Change Type of compartment to Stock","OK")))</f>
        <v>Change Type of compartment to Stock</v>
      </c>
      <c r="E35" s="37" t="s">
        <v>1425</v>
      </c>
      <c r="F35" s="602" t="str">
        <f>Lifetimes!AO1</f>
        <v>MobilityTextiles</v>
      </c>
    </row>
    <row r="36" spans="1:6">
      <c r="A36" s="325" t="s">
        <v>200</v>
      </c>
      <c r="B36" s="68" t="s">
        <v>1409</v>
      </c>
      <c r="C36" s="307" t="s">
        <v>1161</v>
      </c>
      <c r="D36" s="301" t="str">
        <f t="shared" si="1"/>
        <v>OK</v>
      </c>
      <c r="E36" s="579" t="s">
        <v>1448</v>
      </c>
      <c r="F36" s="602" t="str">
        <f>Lifetimes!AP1</f>
        <v>GeotextilesDis</v>
      </c>
    </row>
    <row r="37" spans="1:6">
      <c r="A37" s="325" t="s">
        <v>201</v>
      </c>
      <c r="B37" s="68" t="s">
        <v>1409</v>
      </c>
      <c r="C37" s="307" t="s">
        <v>1251</v>
      </c>
      <c r="D37" s="301" t="str">
        <f t="shared" si="1"/>
        <v>OK</v>
      </c>
      <c r="E37" s="579" t="s">
        <v>1448</v>
      </c>
      <c r="F37" s="602" t="str">
        <f>Lifetimes!AQ1</f>
        <v>GeotextilesIU</v>
      </c>
    </row>
    <row r="38" spans="1:6">
      <c r="A38" s="325" t="s">
        <v>202</v>
      </c>
      <c r="B38" s="68" t="s">
        <v>1409</v>
      </c>
      <c r="C38" s="307" t="s">
        <v>1162</v>
      </c>
      <c r="D38" s="301" t="str">
        <f t="shared" si="1"/>
        <v>OK</v>
      </c>
      <c r="E38" s="579" t="s">
        <v>1448</v>
      </c>
      <c r="F38" s="602" t="str">
        <f>Lifetimes!AR1</f>
        <v>BuildingTextilesDis</v>
      </c>
    </row>
    <row r="39" spans="1:6">
      <c r="A39" s="325" t="s">
        <v>1449</v>
      </c>
      <c r="B39" s="68" t="s">
        <v>1406</v>
      </c>
      <c r="C39" s="307" t="s">
        <v>1450</v>
      </c>
      <c r="D39" s="301" t="str">
        <f t="shared" si="1"/>
        <v>OK</v>
      </c>
      <c r="E39" s="37"/>
      <c r="F39" s="602" t="str">
        <f>Lifetimes!AS1</f>
        <v>BuildingTextilesIU</v>
      </c>
    </row>
    <row r="40" spans="1:6">
      <c r="A40" s="325" t="s">
        <v>1451</v>
      </c>
      <c r="B40" s="68" t="s">
        <v>1406</v>
      </c>
      <c r="C40" s="307" t="s">
        <v>1452</v>
      </c>
      <c r="D40" s="301" t="str">
        <f t="shared" si="1"/>
        <v>OK</v>
      </c>
      <c r="E40" s="37"/>
      <c r="F40" s="602" t="str">
        <f>Lifetimes!AT1</f>
        <v>OtherTechnicalTextiles</v>
      </c>
    </row>
    <row r="41" spans="1:6">
      <c r="A41" s="325" t="s">
        <v>1453</v>
      </c>
      <c r="B41" s="68" t="s">
        <v>1406</v>
      </c>
      <c r="C41" s="307" t="s">
        <v>1453</v>
      </c>
      <c r="D41" s="301" t="str">
        <f t="shared" si="1"/>
        <v>OK</v>
      </c>
      <c r="E41" s="37"/>
      <c r="F41" s="602" t="str">
        <f>Lifetimes!AU1</f>
        <v>TextileCoatingDis</v>
      </c>
    </row>
    <row r="42" spans="1:6">
      <c r="A42" s="325" t="s">
        <v>234</v>
      </c>
      <c r="B42" s="68" t="s">
        <v>1406</v>
      </c>
      <c r="C42" s="307" t="s">
        <v>1454</v>
      </c>
      <c r="D42" s="301" t="str">
        <f t="shared" si="1"/>
        <v>OK</v>
      </c>
      <c r="E42" s="37"/>
      <c r="F42" s="602" t="str">
        <f>Lifetimes!AV1</f>
        <v>TextileCoatingIU</v>
      </c>
    </row>
    <row r="43" spans="1:6">
      <c r="A43" s="325" t="s">
        <v>204</v>
      </c>
      <c r="B43" s="68" t="s">
        <v>1406</v>
      </c>
      <c r="C43" s="307" t="s">
        <v>204</v>
      </c>
      <c r="D43" s="301" t="str">
        <f t="shared" si="1"/>
        <v>OK</v>
      </c>
      <c r="E43" s="37"/>
      <c r="F43" s="602" t="str">
        <f>Lifetimes!AW1</f>
        <v>ConcreteProfInDis</v>
      </c>
    </row>
    <row r="44" spans="1:6">
      <c r="A44" s="325" t="s">
        <v>1455</v>
      </c>
      <c r="B44" s="68" t="s">
        <v>1406</v>
      </c>
      <c r="C44" s="307" t="s">
        <v>1455</v>
      </c>
      <c r="D44" s="301" t="str">
        <f t="shared" si="1"/>
        <v>OK</v>
      </c>
      <c r="E44" s="37"/>
      <c r="F44" s="602" t="str">
        <f>Lifetimes!AX1</f>
        <v>ConcreteProfInIU</v>
      </c>
    </row>
    <row r="45" spans="1:6">
      <c r="A45" s="325" t="s">
        <v>1456</v>
      </c>
      <c r="B45" s="68" t="s">
        <v>1406</v>
      </c>
      <c r="C45" s="307" t="s">
        <v>1457</v>
      </c>
      <c r="D45" s="301" t="str">
        <f t="shared" si="1"/>
        <v>OK</v>
      </c>
      <c r="E45" s="37"/>
      <c r="F45" s="602" t="str">
        <f>Lifetimes!AY1</f>
        <v>ConcreteProfOutDis</v>
      </c>
    </row>
    <row r="46" spans="1:6">
      <c r="A46" s="325" t="s">
        <v>243</v>
      </c>
      <c r="B46" s="68" t="s">
        <v>1412</v>
      </c>
      <c r="C46" s="307" t="s">
        <v>243</v>
      </c>
      <c r="D46" s="301" t="str">
        <f t="shared" si="1"/>
        <v>OK</v>
      </c>
      <c r="E46" s="37"/>
      <c r="F46" s="602" t="str">
        <f>Lifetimes!AZ1</f>
        <v>ConcreteProfOutIU</v>
      </c>
    </row>
    <row r="47" spans="1:6">
      <c r="A47" s="325" t="s">
        <v>1458</v>
      </c>
      <c r="B47" s="68" t="s">
        <v>1406</v>
      </c>
      <c r="C47" s="307" t="s">
        <v>1459</v>
      </c>
      <c r="D47" s="301" t="str">
        <f t="shared" si="1"/>
        <v>OK</v>
      </c>
      <c r="E47" s="37"/>
      <c r="F47" s="602" t="str">
        <f>Lifetimes!BA1</f>
        <v>LacquerDiyInDis</v>
      </c>
    </row>
    <row r="48" spans="1:6">
      <c r="A48" s="325" t="s">
        <v>178</v>
      </c>
      <c r="B48" s="68" t="s">
        <v>1406</v>
      </c>
      <c r="C48" s="307" t="s">
        <v>1460</v>
      </c>
      <c r="D48" s="301" t="str">
        <f t="shared" si="1"/>
        <v>OK</v>
      </c>
      <c r="E48" s="37"/>
      <c r="F48" s="602" t="str">
        <f>Lifetimes!BB1</f>
        <v>LacquerDiyInIU</v>
      </c>
    </row>
    <row r="49" spans="1:6">
      <c r="A49" s="495" t="s">
        <v>245</v>
      </c>
      <c r="B49" s="68" t="s">
        <v>1412</v>
      </c>
      <c r="C49" s="307" t="s">
        <v>245</v>
      </c>
      <c r="D49" s="301" t="str">
        <f t="shared" si="1"/>
        <v>OK</v>
      </c>
      <c r="E49" s="37"/>
      <c r="F49" s="602" t="str">
        <f>Lifetimes!BC1</f>
        <v>LacquerDiyOutDis</v>
      </c>
    </row>
    <row r="50" spans="1:6">
      <c r="A50" s="325" t="s">
        <v>1461</v>
      </c>
      <c r="B50" s="68" t="s">
        <v>1406</v>
      </c>
      <c r="C50" s="307" t="s">
        <v>1462</v>
      </c>
      <c r="D50" s="301" t="str">
        <f t="shared" si="1"/>
        <v>OK</v>
      </c>
      <c r="E50" s="37"/>
      <c r="F50" s="602" t="str">
        <f>Lifetimes!BD1</f>
        <v>LacquerDiyOutIU</v>
      </c>
    </row>
    <row r="51" spans="1:6">
      <c r="A51" s="325" t="s">
        <v>1463</v>
      </c>
      <c r="B51" s="68" t="s">
        <v>1406</v>
      </c>
      <c r="C51" s="307" t="s">
        <v>1464</v>
      </c>
      <c r="D51" s="301" t="str">
        <f t="shared" si="1"/>
        <v>OK</v>
      </c>
      <c r="E51" s="37"/>
      <c r="F51" s="602" t="str">
        <f>Lifetimes!BE1</f>
        <v>LacquerProfInDis</v>
      </c>
    </row>
    <row r="52" spans="1:6">
      <c r="A52" s="325" t="s">
        <v>1465</v>
      </c>
      <c r="B52" s="68" t="s">
        <v>1406</v>
      </c>
      <c r="C52" s="307" t="s">
        <v>1465</v>
      </c>
      <c r="D52" s="301" t="str">
        <f t="shared" si="1"/>
        <v>OK</v>
      </c>
      <c r="E52" s="37"/>
      <c r="F52" s="602" t="str">
        <f>Lifetimes!BF1</f>
        <v>LacquerProfInIU</v>
      </c>
    </row>
    <row r="53" spans="1:6">
      <c r="A53" s="325" t="s">
        <v>185</v>
      </c>
      <c r="B53" s="68" t="s">
        <v>1406</v>
      </c>
      <c r="C53" s="307" t="s">
        <v>185</v>
      </c>
      <c r="D53" s="301" t="str">
        <f t="shared" si="1"/>
        <v>OK</v>
      </c>
      <c r="E53" s="37"/>
      <c r="F53" s="602" t="str">
        <f>Lifetimes!BG1</f>
        <v>LacquerProfOutDis</v>
      </c>
    </row>
    <row r="54" spans="1:6">
      <c r="A54" s="325" t="s">
        <v>1466</v>
      </c>
      <c r="B54" s="68" t="s">
        <v>1406</v>
      </c>
      <c r="C54" s="307" t="s">
        <v>1252</v>
      </c>
      <c r="D54" s="301" t="str">
        <f t="shared" si="1"/>
        <v>Change Type of compartment to Stock</v>
      </c>
      <c r="E54" s="37" t="s">
        <v>1425</v>
      </c>
      <c r="F54" s="602" t="str">
        <f>Lifetimes!BH1</f>
        <v>LacquerProfOutIU</v>
      </c>
    </row>
    <row r="55" spans="1:6">
      <c r="A55" s="325" t="s">
        <v>1467</v>
      </c>
      <c r="B55" s="68" t="s">
        <v>1406</v>
      </c>
      <c r="C55" s="307" t="s">
        <v>1468</v>
      </c>
      <c r="D55" s="301" t="str">
        <f t="shared" si="1"/>
        <v>OK</v>
      </c>
      <c r="E55" s="37"/>
      <c r="F55" s="602" t="str">
        <f>Lifetimes!BI1</f>
        <v>OtherPaintUsesDiyInDis</v>
      </c>
    </row>
    <row r="56" spans="1:6">
      <c r="A56" s="325" t="s">
        <v>112</v>
      </c>
      <c r="B56" s="68" t="s">
        <v>1406</v>
      </c>
      <c r="C56" s="307" t="s">
        <v>1469</v>
      </c>
      <c r="D56" s="301" t="str">
        <f t="shared" si="1"/>
        <v>OK</v>
      </c>
      <c r="E56" s="37"/>
      <c r="F56" s="602" t="str">
        <f>Lifetimes!BJ1</f>
        <v>OtherPaintUsesDiyInIU</v>
      </c>
    </row>
    <row r="57" spans="1:6">
      <c r="A57" s="325" t="s">
        <v>1470</v>
      </c>
      <c r="B57" s="68" t="s">
        <v>1406</v>
      </c>
      <c r="C57" s="307" t="s">
        <v>1471</v>
      </c>
      <c r="D57" s="301" t="str">
        <f t="shared" si="1"/>
        <v>OK</v>
      </c>
      <c r="E57" s="37"/>
      <c r="F57" s="602" t="str">
        <f>Lifetimes!BK1</f>
        <v>OtherPaintUsesDiyOutDis</v>
      </c>
    </row>
    <row r="58" spans="1:6">
      <c r="A58" s="325" t="s">
        <v>179</v>
      </c>
      <c r="B58" s="68" t="s">
        <v>1406</v>
      </c>
      <c r="C58" s="307" t="s">
        <v>179</v>
      </c>
      <c r="D58" s="301" t="str">
        <f t="shared" si="1"/>
        <v>OK</v>
      </c>
      <c r="E58" s="37"/>
      <c r="F58" s="602" t="str">
        <f>Lifetimes!BL1</f>
        <v>OtherPaintUsesDiyOutIU</v>
      </c>
    </row>
    <row r="59" spans="1:6">
      <c r="A59" s="325" t="s">
        <v>228</v>
      </c>
      <c r="B59" s="68" t="s">
        <v>1406</v>
      </c>
      <c r="C59" s="307" t="s">
        <v>1472</v>
      </c>
      <c r="D59" s="301" t="str">
        <f t="shared" si="1"/>
        <v>OK</v>
      </c>
      <c r="E59" s="37"/>
      <c r="F59" s="602" t="str">
        <f>Lifetimes!BM1</f>
        <v>OtherPaintUsesProfInDis</v>
      </c>
    </row>
    <row r="60" spans="1:6">
      <c r="A60" s="325" t="s">
        <v>303</v>
      </c>
      <c r="B60" s="68" t="s">
        <v>1406</v>
      </c>
      <c r="C60" s="307" t="s">
        <v>1473</v>
      </c>
      <c r="D60" s="301" t="str">
        <f t="shared" si="1"/>
        <v>OK</v>
      </c>
      <c r="E60" s="37"/>
      <c r="F60" s="602" t="str">
        <f>Lifetimes!BN1</f>
        <v>OtherPaintUsesProfInIU</v>
      </c>
    </row>
    <row r="61" spans="1:6">
      <c r="A61" s="325" t="s">
        <v>1166</v>
      </c>
      <c r="B61" s="68" t="s">
        <v>1406</v>
      </c>
      <c r="C61" s="307" t="s">
        <v>1474</v>
      </c>
      <c r="D61" s="301" t="str">
        <f t="shared" si="1"/>
        <v>OK</v>
      </c>
      <c r="E61" s="37"/>
      <c r="F61" s="602" t="str">
        <f>Lifetimes!BO1</f>
        <v>OtherPaintUsesProfOutDis</v>
      </c>
    </row>
    <row r="62" spans="1:6">
      <c r="A62" s="325" t="s">
        <v>1475</v>
      </c>
      <c r="B62" s="68" t="s">
        <v>1406</v>
      </c>
      <c r="C62" s="307" t="s">
        <v>1476</v>
      </c>
      <c r="D62" s="301" t="str">
        <f t="shared" si="1"/>
        <v>OK</v>
      </c>
      <c r="E62" s="37"/>
      <c r="F62" s="602" t="str">
        <f>Lifetimes!BP1</f>
        <v>OtherPaintUsesProfOutIU</v>
      </c>
    </row>
    <row r="63" spans="1:6">
      <c r="A63" s="325" t="s">
        <v>184</v>
      </c>
      <c r="B63" s="68" t="s">
        <v>1412</v>
      </c>
      <c r="C63" s="307" t="s">
        <v>184</v>
      </c>
      <c r="D63" s="301" t="str">
        <f t="shared" si="1"/>
        <v>OK</v>
      </c>
      <c r="E63" s="37"/>
      <c r="F63" s="602" t="str">
        <f>Lifetimes!BQ1</f>
        <v>PaintsPreMadeWoodInDis</v>
      </c>
    </row>
    <row r="64" spans="1:6">
      <c r="A64" s="325" t="s">
        <v>1477</v>
      </c>
      <c r="B64" s="68" t="s">
        <v>1406</v>
      </c>
      <c r="C64" s="307" t="s">
        <v>1478</v>
      </c>
      <c r="D64" s="301" t="str">
        <f t="shared" si="1"/>
        <v>OK</v>
      </c>
      <c r="E64" s="37"/>
      <c r="F64" s="602" t="str">
        <f>Lifetimes!BR1</f>
        <v>PaintsPreMadeWoodInIU</v>
      </c>
    </row>
    <row r="65" spans="1:6">
      <c r="A65" s="325" t="s">
        <v>321</v>
      </c>
      <c r="B65" s="68" t="s">
        <v>1406</v>
      </c>
      <c r="C65" s="307" t="s">
        <v>1479</v>
      </c>
      <c r="D65" s="301" t="str">
        <f t="shared" si="1"/>
        <v>OK</v>
      </c>
      <c r="E65" s="37"/>
      <c r="F65" s="602" t="str">
        <f>Lifetimes!BS1</f>
        <v>PaintsPreMadeWoodOutDis</v>
      </c>
    </row>
    <row r="66" spans="1:6">
      <c r="A66" s="325" t="s">
        <v>325</v>
      </c>
      <c r="B66" s="68" t="s">
        <v>1406</v>
      </c>
      <c r="C66" s="307" t="s">
        <v>1480</v>
      </c>
      <c r="D66" s="301" t="str">
        <f t="shared" si="1"/>
        <v>OK</v>
      </c>
      <c r="E66" s="37"/>
      <c r="F66" s="602" t="str">
        <f>Lifetimes!BT1</f>
        <v>PaintsPreMadeWoodOutIU</v>
      </c>
    </row>
    <row r="67" spans="1:6">
      <c r="A67" s="325" t="s">
        <v>314</v>
      </c>
      <c r="B67" s="68" t="s">
        <v>1406</v>
      </c>
      <c r="C67" s="307" t="s">
        <v>1481</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1406</v>
      </c>
      <c r="C68" s="307" t="s">
        <v>1482</v>
      </c>
      <c r="D68" s="301" t="str">
        <f t="shared" si="2"/>
        <v>OK</v>
      </c>
      <c r="E68" s="37"/>
      <c r="F68" s="602" t="str">
        <f>Lifetimes!BV1</f>
        <v>PlasterDiyInIU</v>
      </c>
    </row>
    <row r="69" spans="1:6">
      <c r="A69" s="325" t="s">
        <v>347</v>
      </c>
      <c r="B69" s="68" t="s">
        <v>1409</v>
      </c>
      <c r="C69" s="307" t="s">
        <v>1267</v>
      </c>
      <c r="D69" s="301" t="str">
        <f t="shared" si="2"/>
        <v>OK</v>
      </c>
      <c r="E69" s="37"/>
      <c r="F69" s="602" t="str">
        <f>Lifetimes!BW1</f>
        <v>PlasterDiyOutDis</v>
      </c>
    </row>
    <row r="70" spans="1:6">
      <c r="A70" s="325" t="s">
        <v>341</v>
      </c>
      <c r="B70" s="68" t="s">
        <v>1412</v>
      </c>
      <c r="C70" s="307" t="s">
        <v>1483</v>
      </c>
      <c r="D70" s="301" t="str">
        <f t="shared" si="2"/>
        <v>OK</v>
      </c>
      <c r="E70" s="37"/>
      <c r="F70" s="602" t="str">
        <f>Lifetimes!BX1</f>
        <v>PlasterDiyOutIU</v>
      </c>
    </row>
    <row r="71" spans="1:6">
      <c r="A71" s="325" t="s">
        <v>360</v>
      </c>
      <c r="B71" s="68" t="s">
        <v>1412</v>
      </c>
      <c r="C71" s="307" t="s">
        <v>1484</v>
      </c>
      <c r="D71" s="301" t="str">
        <f t="shared" si="2"/>
        <v>OK</v>
      </c>
      <c r="E71" s="37"/>
      <c r="F71" s="602" t="str">
        <f>Lifetimes!BY1</f>
        <v>PlasterProfInDis</v>
      </c>
    </row>
    <row r="72" spans="1:6">
      <c r="A72" s="325" t="s">
        <v>235</v>
      </c>
      <c r="B72" s="68" t="s">
        <v>1409</v>
      </c>
      <c r="C72" s="307" t="s">
        <v>1163</v>
      </c>
      <c r="D72" s="301" t="str">
        <f t="shared" si="2"/>
        <v>OK</v>
      </c>
      <c r="E72" s="579"/>
      <c r="F72" s="602" t="str">
        <f>Lifetimes!BZ1</f>
        <v>PlasterProfInIU</v>
      </c>
    </row>
    <row r="73" spans="1:6">
      <c r="A73" s="325" t="s">
        <v>1485</v>
      </c>
      <c r="B73" s="68" t="s">
        <v>1406</v>
      </c>
      <c r="C73" s="307" t="s">
        <v>1486</v>
      </c>
      <c r="D73" s="301" t="str">
        <f t="shared" si="2"/>
        <v>OK</v>
      </c>
      <c r="E73" s="37"/>
      <c r="F73" s="602" t="str">
        <f>Lifetimes!CA1</f>
        <v>PlasterProfOutDis</v>
      </c>
    </row>
    <row r="74" spans="1:6">
      <c r="A74" s="325" t="s">
        <v>1487</v>
      </c>
      <c r="B74" s="68" t="s">
        <v>1406</v>
      </c>
      <c r="C74" s="307" t="s">
        <v>1488</v>
      </c>
      <c r="D74" s="301" t="str">
        <f t="shared" si="2"/>
        <v>OK</v>
      </c>
      <c r="E74" s="37"/>
      <c r="F74" s="602" t="str">
        <f>Lifetimes!CB1</f>
        <v>PlasterProfOutIU</v>
      </c>
    </row>
    <row r="75" spans="1:6">
      <c r="A75" s="325" t="s">
        <v>1489</v>
      </c>
      <c r="B75" s="68" t="s">
        <v>1406</v>
      </c>
      <c r="C75" s="307" t="s">
        <v>1490</v>
      </c>
      <c r="D75" s="301" t="str">
        <f t="shared" si="2"/>
        <v>OK</v>
      </c>
      <c r="E75" s="37"/>
      <c r="F75" s="602" t="str">
        <f>Lifetimes!CC1</f>
        <v>ShipProfDis</v>
      </c>
    </row>
    <row r="76" spans="1:6">
      <c r="A76" s="325" t="s">
        <v>367</v>
      </c>
      <c r="B76" s="68" t="s">
        <v>1406</v>
      </c>
      <c r="C76" s="307" t="s">
        <v>1491</v>
      </c>
      <c r="D76" s="301" t="str">
        <f t="shared" si="2"/>
        <v>OK</v>
      </c>
      <c r="E76" s="37"/>
      <c r="F76" s="602" t="str">
        <f>Lifetimes!CD1</f>
        <v>ShipProfIU</v>
      </c>
    </row>
    <row r="77" spans="1:6">
      <c r="A77" s="325" t="s">
        <v>323</v>
      </c>
      <c r="B77" s="68" t="s">
        <v>1406</v>
      </c>
      <c r="C77" s="307" t="s">
        <v>1492</v>
      </c>
      <c r="D77" s="301" t="str">
        <f t="shared" si="2"/>
        <v>OK</v>
      </c>
      <c r="E77" s="37"/>
      <c r="F77" s="602" t="str">
        <f>Lifetimes!CE1</f>
        <v>ShipDiyDis</v>
      </c>
    </row>
    <row r="78" spans="1:6">
      <c r="A78" s="325" t="s">
        <v>326</v>
      </c>
      <c r="B78" s="68" t="s">
        <v>1406</v>
      </c>
      <c r="C78" s="307" t="s">
        <v>1493</v>
      </c>
      <c r="D78" s="301" t="str">
        <f t="shared" si="2"/>
        <v>OK</v>
      </c>
      <c r="E78" s="37"/>
      <c r="F78" s="602" t="str">
        <f>Lifetimes!CF1</f>
        <v>ShipDiyIU</v>
      </c>
    </row>
    <row r="79" spans="1:6">
      <c r="A79" s="325" t="s">
        <v>334</v>
      </c>
      <c r="B79" s="68" t="s">
        <v>1406</v>
      </c>
      <c r="C79" s="307" t="s">
        <v>1494</v>
      </c>
      <c r="D79" s="301" t="str">
        <f t="shared" si="2"/>
        <v>OK</v>
      </c>
      <c r="E79" s="37"/>
      <c r="F79" s="602" t="str">
        <f>Lifetimes!CG1</f>
        <v>WallPaintDiyIndoorAppliedDis</v>
      </c>
    </row>
    <row r="80" spans="1:6">
      <c r="A80" s="325" t="s">
        <v>203</v>
      </c>
      <c r="B80" s="68" t="s">
        <v>1409</v>
      </c>
      <c r="C80" s="307" t="s">
        <v>1071</v>
      </c>
      <c r="D80" s="301" t="str">
        <f t="shared" si="2"/>
        <v>OK</v>
      </c>
      <c r="E80" s="579"/>
      <c r="F80" s="602" t="str">
        <f>Lifetimes!CH1</f>
        <v>WallPaintDiyIndoorAppliedIU</v>
      </c>
    </row>
    <row r="81" spans="1:6">
      <c r="A81" s="325" t="s">
        <v>236</v>
      </c>
      <c r="B81" s="68" t="s">
        <v>1409</v>
      </c>
      <c r="C81" s="307" t="s">
        <v>1165</v>
      </c>
      <c r="D81" s="301" t="str">
        <f t="shared" si="2"/>
        <v>OK</v>
      </c>
      <c r="E81" s="579"/>
      <c r="F81" s="602" t="str">
        <f>Lifetimes!CI1</f>
        <v>WallPaintDiyOutDis</v>
      </c>
    </row>
    <row r="82" spans="1:6">
      <c r="A82" s="325" t="s">
        <v>237</v>
      </c>
      <c r="B82" s="68" t="s">
        <v>1409</v>
      </c>
      <c r="C82" s="307" t="s">
        <v>1164</v>
      </c>
      <c r="D82" s="301" t="str">
        <f t="shared" si="2"/>
        <v>OK</v>
      </c>
      <c r="E82" s="579"/>
      <c r="F82" s="603" t="str">
        <f>Lifetimes!CJ1</f>
        <v>WallPaintDiyOutIU</v>
      </c>
    </row>
    <row r="83" spans="1:6">
      <c r="A83" s="325" t="s">
        <v>1495</v>
      </c>
      <c r="B83" s="68" t="s">
        <v>1406</v>
      </c>
      <c r="C83" s="307" t="s">
        <v>127</v>
      </c>
      <c r="D83" s="301" t="str">
        <f t="shared" si="2"/>
        <v>OK</v>
      </c>
      <c r="E83" s="37"/>
      <c r="F83" s="603" t="str">
        <f>Lifetimes!CK1</f>
        <v>WallPaintProfInDis</v>
      </c>
    </row>
    <row r="84" spans="1:6">
      <c r="A84" s="325" t="s">
        <v>1496</v>
      </c>
      <c r="B84" s="68" t="s">
        <v>1406</v>
      </c>
      <c r="C84" s="307" t="s">
        <v>1253</v>
      </c>
      <c r="D84" s="301" t="str">
        <f t="shared" si="2"/>
        <v>Change Type of compartment to Stock</v>
      </c>
      <c r="E84" s="37" t="s">
        <v>1425</v>
      </c>
      <c r="F84" s="603" t="str">
        <f>Lifetimes!CL1</f>
        <v>WallPaintProfInIU</v>
      </c>
    </row>
    <row r="85" spans="1:6">
      <c r="A85" s="325" t="s">
        <v>238</v>
      </c>
      <c r="B85" s="68" t="s">
        <v>1409</v>
      </c>
      <c r="C85" s="307" t="s">
        <v>1272</v>
      </c>
      <c r="D85" s="301" t="str">
        <f t="shared" si="2"/>
        <v>OK</v>
      </c>
      <c r="E85" s="37"/>
      <c r="F85" s="603" t="str">
        <f>Lifetimes!CM1</f>
        <v>WallPaintProfOutDis</v>
      </c>
    </row>
    <row r="86" spans="1:6">
      <c r="A86" s="325" t="s">
        <v>231</v>
      </c>
      <c r="B86" s="364" t="s">
        <v>1412</v>
      </c>
      <c r="C86" s="307" t="s">
        <v>1497</v>
      </c>
      <c r="D86" s="301" t="str">
        <f t="shared" si="2"/>
        <v>OK</v>
      </c>
      <c r="E86" s="37"/>
      <c r="F86" s="603" t="str">
        <f>Lifetimes!CN1</f>
        <v>WallPaintProfOutIU</v>
      </c>
    </row>
    <row r="87" spans="1:6">
      <c r="A87" s="325" t="s">
        <v>39</v>
      </c>
      <c r="B87" s="68" t="s">
        <v>1406</v>
      </c>
      <c r="C87" s="307" t="s">
        <v>39</v>
      </c>
      <c r="D87" s="301" t="str">
        <f t="shared" si="2"/>
        <v>OK</v>
      </c>
      <c r="E87" s="37"/>
      <c r="F87" s="603" t="str">
        <f>Lifetimes!CO1</f>
        <v>WoodStainDiyInDis</v>
      </c>
    </row>
    <row r="88" spans="1:6">
      <c r="A88" s="325" t="s">
        <v>244</v>
      </c>
      <c r="B88" s="68" t="s">
        <v>1406</v>
      </c>
      <c r="C88" s="307" t="s">
        <v>1498</v>
      </c>
      <c r="D88" s="301" t="str">
        <f t="shared" si="2"/>
        <v>OK</v>
      </c>
      <c r="E88" s="37"/>
      <c r="F88" s="603" t="str">
        <f>Lifetimes!CP1</f>
        <v>WoodStainDiyInIU</v>
      </c>
    </row>
    <row r="89" spans="1:6">
      <c r="A89" s="325" t="s">
        <v>283</v>
      </c>
      <c r="B89" s="68" t="s">
        <v>1406</v>
      </c>
      <c r="C89" s="307" t="s">
        <v>1499</v>
      </c>
      <c r="D89" s="301" t="str">
        <f t="shared" si="2"/>
        <v>OK</v>
      </c>
      <c r="E89" s="37"/>
      <c r="F89" s="603" t="str">
        <f>Lifetimes!CQ1</f>
        <v>WoodStainDiyOutDis</v>
      </c>
    </row>
    <row r="90" spans="1:6">
      <c r="A90" s="325" t="s">
        <v>239</v>
      </c>
      <c r="B90" s="68" t="s">
        <v>1406</v>
      </c>
      <c r="C90" s="307" t="s">
        <v>1500</v>
      </c>
      <c r="D90" s="301" t="str">
        <f t="shared" si="2"/>
        <v>OK</v>
      </c>
      <c r="E90" s="37"/>
      <c r="F90" s="603" t="str">
        <f>Lifetimes!CR1</f>
        <v>WoodStainDiyOutIU</v>
      </c>
    </row>
    <row r="91" spans="1:6">
      <c r="A91" s="325" t="s">
        <v>353</v>
      </c>
      <c r="B91" s="68" t="s">
        <v>1406</v>
      </c>
      <c r="C91" s="307" t="s">
        <v>353</v>
      </c>
      <c r="D91" s="301" t="str">
        <f t="shared" si="2"/>
        <v>OK</v>
      </c>
      <c r="E91" s="579"/>
      <c r="F91" s="603" t="str">
        <f>Lifetimes!CS1</f>
        <v>WoodStainProfInDis</v>
      </c>
    </row>
    <row r="92" spans="1:6">
      <c r="A92" s="325" t="s">
        <v>1501</v>
      </c>
      <c r="B92" s="68" t="s">
        <v>1406</v>
      </c>
      <c r="C92" s="307" t="s">
        <v>1502</v>
      </c>
      <c r="D92" s="301" t="str">
        <f t="shared" si="2"/>
        <v>OK</v>
      </c>
      <c r="E92" s="37"/>
      <c r="F92" s="603" t="str">
        <f>Lifetimes!CT1</f>
        <v>WoodStainProfInIU</v>
      </c>
    </row>
    <row r="93" spans="1:6">
      <c r="A93" s="325" t="s">
        <v>1503</v>
      </c>
      <c r="B93" s="68" t="s">
        <v>1406</v>
      </c>
      <c r="C93" s="307" t="s">
        <v>1504</v>
      </c>
      <c r="D93" s="301" t="str">
        <f t="shared" si="2"/>
        <v>OK</v>
      </c>
      <c r="E93" s="37"/>
      <c r="F93" s="603" t="str">
        <f>Lifetimes!CU1</f>
        <v>WoodStainProfOutDis</v>
      </c>
    </row>
    <row r="94" spans="1:6" ht="15" thickBot="1">
      <c r="A94" s="325" t="s">
        <v>1171</v>
      </c>
      <c r="B94" s="68" t="s">
        <v>1406</v>
      </c>
      <c r="C94" s="307" t="s">
        <v>1505</v>
      </c>
      <c r="D94" s="301" t="str">
        <f t="shared" si="2"/>
        <v>OK</v>
      </c>
      <c r="E94" s="37"/>
      <c r="F94" s="604" t="str">
        <f>Lifetimes!CV1</f>
        <v>WoodStainProfOutIU</v>
      </c>
    </row>
    <row r="95" spans="1:6">
      <c r="A95" s="325" t="s">
        <v>384</v>
      </c>
      <c r="B95" s="68" t="s">
        <v>1406</v>
      </c>
      <c r="C95" s="307" t="s">
        <v>1506</v>
      </c>
      <c r="D95" s="301" t="str">
        <f t="shared" si="2"/>
        <v>OK</v>
      </c>
      <c r="E95" s="37"/>
      <c r="F95"/>
    </row>
    <row r="96" spans="1:6">
      <c r="A96" s="325" t="s">
        <v>385</v>
      </c>
      <c r="B96" s="68" t="s">
        <v>1406</v>
      </c>
      <c r="C96" s="307" t="s">
        <v>1507</v>
      </c>
      <c r="D96" s="301" t="str">
        <f t="shared" si="2"/>
        <v>OK</v>
      </c>
      <c r="E96" s="37"/>
      <c r="F96"/>
    </row>
    <row r="97" spans="1:6">
      <c r="A97" s="325" t="s">
        <v>1508</v>
      </c>
      <c r="B97" s="68" t="s">
        <v>1406</v>
      </c>
      <c r="C97" s="307" t="s">
        <v>1509</v>
      </c>
      <c r="D97" s="301" t="str">
        <f t="shared" si="2"/>
        <v>OK</v>
      </c>
      <c r="E97" s="37"/>
      <c r="F97"/>
    </row>
    <row r="98" spans="1:6">
      <c r="A98" s="325" t="s">
        <v>176</v>
      </c>
      <c r="B98" s="68" t="s">
        <v>1412</v>
      </c>
      <c r="C98" s="307" t="s">
        <v>1510</v>
      </c>
      <c r="D98" s="301" t="str">
        <f t="shared" si="2"/>
        <v>OK</v>
      </c>
      <c r="E98" s="37"/>
      <c r="F98"/>
    </row>
    <row r="99" spans="1:6">
      <c r="A99" s="325" t="s">
        <v>251</v>
      </c>
      <c r="B99" s="68" t="s">
        <v>1412</v>
      </c>
      <c r="C99" s="307" t="s">
        <v>1511</v>
      </c>
      <c r="D99" s="301" t="str">
        <f t="shared" ref="D99:D130" si="3">IF(B99=IF(COUNTIF($F$5:$F$209,C99),"Stock","Flow/Sink"),"OK",IF(B99="Stock","Compartment missing in Lifetimes_pairs",IF(IF(COUNTIF($F$5:$F$161,C99),"Stock","Flow/Sink")="Stock","Change Type of compartment to Stock","OK")))</f>
        <v>OK</v>
      </c>
      <c r="E99" s="37"/>
      <c r="F99"/>
    </row>
    <row r="100" spans="1:6">
      <c r="A100" s="325" t="s">
        <v>414</v>
      </c>
      <c r="B100" s="68" t="s">
        <v>1412</v>
      </c>
      <c r="C100" s="307" t="s">
        <v>1512</v>
      </c>
      <c r="D100" s="301" t="str">
        <f t="shared" si="3"/>
        <v>OK</v>
      </c>
      <c r="E100" s="37"/>
      <c r="F100"/>
    </row>
    <row r="101" spans="1:6">
      <c r="A101" s="325" t="s">
        <v>1513</v>
      </c>
      <c r="B101" s="68" t="s">
        <v>1406</v>
      </c>
      <c r="C101" s="307" t="s">
        <v>1514</v>
      </c>
      <c r="D101" s="301" t="str">
        <f t="shared" si="3"/>
        <v>OK</v>
      </c>
      <c r="E101" s="37"/>
      <c r="F101"/>
    </row>
    <row r="102" spans="1:6">
      <c r="A102" s="325" t="s">
        <v>1515</v>
      </c>
      <c r="B102" s="68" t="s">
        <v>1406</v>
      </c>
      <c r="C102" s="307" t="s">
        <v>1516</v>
      </c>
      <c r="D102" s="301" t="str">
        <f t="shared" si="3"/>
        <v>OK</v>
      </c>
      <c r="E102" s="37"/>
      <c r="F102"/>
    </row>
    <row r="103" spans="1:6">
      <c r="A103" s="325" t="s">
        <v>248</v>
      </c>
      <c r="B103" s="68" t="s">
        <v>1412</v>
      </c>
      <c r="C103" s="307" t="s">
        <v>1517</v>
      </c>
      <c r="D103" s="301" t="str">
        <f t="shared" si="3"/>
        <v>OK</v>
      </c>
      <c r="E103" s="37"/>
      <c r="F103"/>
    </row>
    <row r="104" spans="1:6">
      <c r="A104" s="325" t="s">
        <v>399</v>
      </c>
      <c r="B104" s="68" t="s">
        <v>1406</v>
      </c>
      <c r="C104" s="307" t="s">
        <v>1518</v>
      </c>
      <c r="D104" s="301" t="str">
        <f t="shared" si="3"/>
        <v>OK</v>
      </c>
      <c r="E104" s="37"/>
      <c r="F104"/>
    </row>
    <row r="105" spans="1:6">
      <c r="A105" s="325" t="s">
        <v>401</v>
      </c>
      <c r="B105" s="68" t="s">
        <v>1406</v>
      </c>
      <c r="C105" s="307" t="s">
        <v>1519</v>
      </c>
      <c r="D105" s="301" t="str">
        <f t="shared" si="3"/>
        <v>OK</v>
      </c>
      <c r="E105" s="37"/>
      <c r="F105"/>
    </row>
    <row r="106" spans="1:6">
      <c r="A106" s="325" t="s">
        <v>1520</v>
      </c>
      <c r="B106" s="68" t="s">
        <v>1406</v>
      </c>
      <c r="C106" s="307" t="s">
        <v>1521</v>
      </c>
      <c r="D106" s="301" t="str">
        <f t="shared" si="3"/>
        <v>OK</v>
      </c>
      <c r="E106" s="37"/>
      <c r="F106"/>
    </row>
    <row r="107" spans="1:6">
      <c r="A107" s="325" t="s">
        <v>1522</v>
      </c>
      <c r="B107" s="68" t="s">
        <v>1406</v>
      </c>
      <c r="C107" s="307" t="s">
        <v>1523</v>
      </c>
      <c r="D107" s="301" t="str">
        <f t="shared" si="3"/>
        <v>OK</v>
      </c>
      <c r="E107" s="37"/>
      <c r="F107"/>
    </row>
    <row r="108" spans="1:6">
      <c r="A108" s="325" t="s">
        <v>284</v>
      </c>
      <c r="B108" s="68" t="s">
        <v>1406</v>
      </c>
      <c r="C108" s="307" t="s">
        <v>1524</v>
      </c>
      <c r="D108" s="301" t="str">
        <f t="shared" si="3"/>
        <v>OK</v>
      </c>
      <c r="E108" s="37"/>
      <c r="F108"/>
    </row>
    <row r="109" spans="1:6">
      <c r="A109" s="325" t="s">
        <v>286</v>
      </c>
      <c r="B109" s="68" t="s">
        <v>1406</v>
      </c>
      <c r="C109" s="307" t="s">
        <v>1525</v>
      </c>
      <c r="D109" s="301" t="str">
        <f t="shared" si="3"/>
        <v>OK</v>
      </c>
      <c r="E109" s="37"/>
      <c r="F109"/>
    </row>
    <row r="110" spans="1:6">
      <c r="A110" s="325" t="s">
        <v>264</v>
      </c>
      <c r="B110" s="68" t="s">
        <v>1406</v>
      </c>
      <c r="C110" s="307" t="s">
        <v>1526</v>
      </c>
      <c r="D110" s="301" t="str">
        <f t="shared" si="3"/>
        <v>OK</v>
      </c>
      <c r="E110" s="37"/>
      <c r="F110"/>
    </row>
    <row r="111" spans="1:6">
      <c r="A111" s="325" t="s">
        <v>266</v>
      </c>
      <c r="B111" s="68" t="s">
        <v>1406</v>
      </c>
      <c r="C111" s="307" t="s">
        <v>1527</v>
      </c>
      <c r="D111" s="301" t="str">
        <f t="shared" si="3"/>
        <v>OK</v>
      </c>
      <c r="E111" s="37"/>
      <c r="F111"/>
    </row>
    <row r="112" spans="1:6">
      <c r="A112" s="325" t="s">
        <v>1528</v>
      </c>
      <c r="B112" s="68" t="s">
        <v>1406</v>
      </c>
      <c r="C112" s="307" t="s">
        <v>1528</v>
      </c>
      <c r="D112" s="301" t="str">
        <f t="shared" si="3"/>
        <v>OK</v>
      </c>
      <c r="E112" s="37"/>
      <c r="F112"/>
    </row>
    <row r="113" spans="1:6">
      <c r="A113" s="325" t="s">
        <v>188</v>
      </c>
      <c r="B113" s="68" t="s">
        <v>1412</v>
      </c>
      <c r="C113" s="307" t="s">
        <v>1529</v>
      </c>
      <c r="D113" s="301" t="str">
        <f t="shared" si="3"/>
        <v>OK</v>
      </c>
      <c r="E113" s="37"/>
      <c r="F113"/>
    </row>
    <row r="114" spans="1:6">
      <c r="A114" s="325" t="s">
        <v>265</v>
      </c>
      <c r="B114" s="68" t="s">
        <v>1412</v>
      </c>
      <c r="C114" s="307" t="s">
        <v>1530</v>
      </c>
      <c r="D114" s="301" t="str">
        <f t="shared" si="3"/>
        <v>OK</v>
      </c>
      <c r="E114" s="37"/>
      <c r="F114"/>
    </row>
    <row r="115" spans="1:6">
      <c r="A115" s="325" t="s">
        <v>258</v>
      </c>
      <c r="B115" s="68" t="s">
        <v>1412</v>
      </c>
      <c r="C115" s="307" t="s">
        <v>1531</v>
      </c>
      <c r="D115" s="301" t="str">
        <f t="shared" si="3"/>
        <v>OK</v>
      </c>
      <c r="E115" s="37"/>
      <c r="F115"/>
    </row>
    <row r="116" spans="1:6">
      <c r="A116" s="325" t="s">
        <v>1532</v>
      </c>
      <c r="B116" s="68" t="s">
        <v>1406</v>
      </c>
      <c r="C116" s="307" t="s">
        <v>1533</v>
      </c>
      <c r="D116" s="301" t="str">
        <f t="shared" si="3"/>
        <v>OK</v>
      </c>
      <c r="E116" s="37"/>
      <c r="F116"/>
    </row>
    <row r="117" spans="1:6">
      <c r="A117" s="325" t="s">
        <v>241</v>
      </c>
      <c r="B117" s="68" t="s">
        <v>1406</v>
      </c>
      <c r="C117" s="307" t="s">
        <v>241</v>
      </c>
      <c r="D117" s="301" t="str">
        <f t="shared" si="3"/>
        <v>OK</v>
      </c>
      <c r="E117" s="37"/>
      <c r="F117"/>
    </row>
    <row r="118" spans="1:6">
      <c r="A118" s="325" t="s">
        <v>1534</v>
      </c>
      <c r="B118" s="68" t="s">
        <v>1406</v>
      </c>
      <c r="C118" s="307" t="s">
        <v>1535</v>
      </c>
      <c r="D118" s="301" t="str">
        <f t="shared" si="3"/>
        <v>OK</v>
      </c>
      <c r="E118" s="37"/>
      <c r="F118"/>
    </row>
    <row r="119" spans="1:6">
      <c r="A119" s="325" t="s">
        <v>1536</v>
      </c>
      <c r="B119" s="68" t="s">
        <v>1406</v>
      </c>
      <c r="C119" s="307" t="s">
        <v>1537</v>
      </c>
      <c r="D119" s="301" t="str">
        <f t="shared" si="3"/>
        <v>OK</v>
      </c>
      <c r="E119" s="37" t="s">
        <v>1538</v>
      </c>
      <c r="F119"/>
    </row>
    <row r="120" spans="1:6">
      <c r="A120" s="325" t="s">
        <v>121</v>
      </c>
      <c r="B120" s="68" t="s">
        <v>1406</v>
      </c>
      <c r="C120" s="307" t="s">
        <v>1539</v>
      </c>
      <c r="D120" s="301" t="str">
        <f t="shared" si="3"/>
        <v>OK</v>
      </c>
      <c r="E120" s="37"/>
      <c r="F120"/>
    </row>
    <row r="121" spans="1:6">
      <c r="A121" s="325" t="s">
        <v>287</v>
      </c>
      <c r="B121" s="68" t="s">
        <v>1406</v>
      </c>
      <c r="C121" s="307" t="s">
        <v>1540</v>
      </c>
      <c r="D121" s="301" t="str">
        <f t="shared" si="3"/>
        <v>OK</v>
      </c>
      <c r="E121" s="37"/>
      <c r="F121"/>
    </row>
    <row r="122" spans="1:6">
      <c r="A122" s="325" t="s">
        <v>288</v>
      </c>
      <c r="B122" s="68" t="s">
        <v>1406</v>
      </c>
      <c r="C122" s="307" t="s">
        <v>1541</v>
      </c>
      <c r="D122" s="301" t="str">
        <f t="shared" si="3"/>
        <v>OK</v>
      </c>
      <c r="E122" s="37"/>
      <c r="F122"/>
    </row>
    <row r="123" spans="1:6">
      <c r="A123" s="325" t="s">
        <v>1542</v>
      </c>
      <c r="B123" s="68" t="s">
        <v>1406</v>
      </c>
      <c r="C123" s="307" t="s">
        <v>1543</v>
      </c>
      <c r="D123" s="301" t="str">
        <f t="shared" si="3"/>
        <v>OK</v>
      </c>
      <c r="E123" s="37"/>
      <c r="F123"/>
    </row>
    <row r="124" spans="1:6">
      <c r="A124" s="325" t="s">
        <v>421</v>
      </c>
      <c r="B124" s="68" t="s">
        <v>1412</v>
      </c>
      <c r="C124" s="307" t="s">
        <v>1544</v>
      </c>
      <c r="D124" s="301" t="str">
        <f t="shared" si="3"/>
        <v>OK</v>
      </c>
      <c r="E124" s="37"/>
      <c r="F124"/>
    </row>
    <row r="125" spans="1:6">
      <c r="A125" s="325" t="s">
        <v>225</v>
      </c>
      <c r="B125" s="68" t="s">
        <v>1406</v>
      </c>
      <c r="C125" s="307" t="s">
        <v>1545</v>
      </c>
      <c r="D125" s="301" t="str">
        <f t="shared" si="3"/>
        <v>OK</v>
      </c>
      <c r="E125" s="37"/>
      <c r="F125"/>
    </row>
    <row r="126" spans="1:6">
      <c r="A126" s="325" t="s">
        <v>1546</v>
      </c>
      <c r="B126" s="68" t="s">
        <v>1406</v>
      </c>
      <c r="C126" s="307" t="s">
        <v>1546</v>
      </c>
      <c r="D126" s="301" t="str">
        <f t="shared" si="3"/>
        <v>OK</v>
      </c>
      <c r="E126" s="37"/>
      <c r="F126"/>
    </row>
    <row r="127" spans="1:6">
      <c r="A127" s="325" t="s">
        <v>209</v>
      </c>
      <c r="B127" s="68" t="s">
        <v>1406</v>
      </c>
      <c r="C127" s="307" t="s">
        <v>1547</v>
      </c>
      <c r="D127" s="301" t="str">
        <f t="shared" si="3"/>
        <v>OK</v>
      </c>
      <c r="E127" s="37"/>
      <c r="F127"/>
    </row>
    <row r="128" spans="1:6">
      <c r="A128" s="325" t="s">
        <v>215</v>
      </c>
      <c r="B128" s="68" t="s">
        <v>1406</v>
      </c>
      <c r="C128" s="307" t="s">
        <v>1548</v>
      </c>
      <c r="D128" s="301" t="str">
        <f t="shared" si="3"/>
        <v>OK</v>
      </c>
      <c r="E128" s="37"/>
      <c r="F128"/>
    </row>
    <row r="129" spans="1:6">
      <c r="A129" s="325" t="s">
        <v>362</v>
      </c>
      <c r="B129" s="68" t="s">
        <v>1406</v>
      </c>
      <c r="C129" s="307" t="s">
        <v>1549</v>
      </c>
      <c r="D129" s="301" t="str">
        <f t="shared" si="3"/>
        <v>OK</v>
      </c>
      <c r="E129" s="37"/>
      <c r="F129"/>
    </row>
    <row r="130" spans="1:6">
      <c r="A130" s="325" t="s">
        <v>232</v>
      </c>
      <c r="B130" s="68" t="s">
        <v>1406</v>
      </c>
      <c r="C130" s="307" t="s">
        <v>1550</v>
      </c>
      <c r="D130" s="301" t="str">
        <f t="shared" si="3"/>
        <v>OK</v>
      </c>
      <c r="E130" s="37"/>
      <c r="F130"/>
    </row>
    <row r="131" spans="1:6">
      <c r="A131" s="325" t="s">
        <v>1551</v>
      </c>
      <c r="B131" s="68" t="s">
        <v>1406</v>
      </c>
      <c r="C131" s="307" t="s">
        <v>1552</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1553</v>
      </c>
      <c r="B132" s="68" t="s">
        <v>1406</v>
      </c>
      <c r="C132" s="307" t="s">
        <v>1554</v>
      </c>
      <c r="D132" s="301" t="str">
        <f t="shared" si="4"/>
        <v>OK</v>
      </c>
      <c r="E132" s="37"/>
      <c r="F132"/>
    </row>
    <row r="133" spans="1:6">
      <c r="A133" s="325" t="s">
        <v>1168</v>
      </c>
      <c r="B133" s="68" t="s">
        <v>1406</v>
      </c>
      <c r="C133" s="307" t="s">
        <v>1555</v>
      </c>
      <c r="D133" s="301" t="str">
        <f t="shared" si="4"/>
        <v>OK</v>
      </c>
      <c r="E133" s="37"/>
      <c r="F133"/>
    </row>
    <row r="134" spans="1:6">
      <c r="A134" s="325" t="s">
        <v>336</v>
      </c>
      <c r="B134" s="68" t="s">
        <v>1406</v>
      </c>
      <c r="C134" s="307" t="s">
        <v>1556</v>
      </c>
      <c r="D134" s="301" t="str">
        <f t="shared" si="4"/>
        <v>OK</v>
      </c>
      <c r="E134" s="37"/>
      <c r="F134"/>
    </row>
    <row r="135" spans="1:6">
      <c r="A135" s="325" t="s">
        <v>1557</v>
      </c>
      <c r="B135" s="68" t="s">
        <v>1406</v>
      </c>
      <c r="C135" s="307" t="s">
        <v>1558</v>
      </c>
      <c r="D135" s="301" t="str">
        <f t="shared" si="4"/>
        <v>OK</v>
      </c>
      <c r="E135" s="37"/>
      <c r="F135"/>
    </row>
    <row r="136" spans="1:6" ht="15" thickBot="1">
      <c r="A136" s="443" t="s">
        <v>1559</v>
      </c>
      <c r="B136" s="72" t="s">
        <v>1406</v>
      </c>
      <c r="C136" s="320" t="s">
        <v>1559</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6" priority="1" operator="containsText" text="change">
      <formula>NOT(ISERROR(SEARCH("change",D3)))</formula>
    </cfRule>
  </conditionalFormatting>
  <conditionalFormatting sqref="D3:E136">
    <cfRule type="containsText" dxfId="15" priority="2" operator="containsText" text="OK">
      <formula>NOT(ISERROR(SEARCH("OK",D3)))</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44"/>
  <sheetViews>
    <sheetView topLeftCell="A216" zoomScaleNormal="100" workbookViewId="0">
      <selection activeCell="A239" sqref="A239"/>
    </sheetView>
  </sheetViews>
  <sheetFormatPr defaultRowHeight="14.4"/>
  <cols>
    <col min="1" max="1" width="56.33203125" bestFit="1" customWidth="1"/>
    <col min="2" max="2" width="22.33203125" bestFit="1" customWidth="1"/>
    <col min="3" max="3" width="56" bestFit="1" customWidth="1"/>
    <col min="4" max="4" width="11.109375" customWidth="1"/>
    <col min="5" max="5" width="35.6640625" style="6" customWidth="1"/>
    <col min="6" max="6" width="27.6640625" style="6" bestFit="1" customWidth="1"/>
  </cols>
  <sheetData>
    <row r="1" spans="1:6" s="4" customFormat="1" ht="30" customHeight="1" thickBot="1">
      <c r="A1" s="600" t="s">
        <v>1560</v>
      </c>
      <c r="B1" s="600" t="s">
        <v>1400</v>
      </c>
      <c r="C1" s="600" t="s">
        <v>1401</v>
      </c>
      <c r="D1" s="600" t="s">
        <v>1402</v>
      </c>
      <c r="E1" s="600"/>
      <c r="F1" s="600"/>
    </row>
    <row r="2" spans="1:6" ht="30" customHeight="1" thickBot="1">
      <c r="A2" s="144" t="s">
        <v>1391</v>
      </c>
      <c r="B2" s="65" t="s">
        <v>1392</v>
      </c>
      <c r="C2" s="145" t="s">
        <v>1393</v>
      </c>
      <c r="D2" s="65" t="s">
        <v>1403</v>
      </c>
      <c r="E2" s="65" t="s">
        <v>1404</v>
      </c>
      <c r="F2" s="58" t="s">
        <v>1405</v>
      </c>
    </row>
    <row r="3" spans="1:6" ht="15" customHeight="1" thickBot="1">
      <c r="A3" s="494" t="s">
        <v>966</v>
      </c>
      <c r="B3" s="96" t="s">
        <v>1409</v>
      </c>
      <c r="C3" s="96" t="s">
        <v>1249</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964</v>
      </c>
      <c r="B4" s="97" t="s">
        <v>1409</v>
      </c>
      <c r="C4" s="97" t="s">
        <v>980</v>
      </c>
      <c r="D4" s="101" t="str">
        <f t="shared" si="0"/>
        <v>OK</v>
      </c>
      <c r="E4" s="82"/>
      <c r="F4" s="606" t="str">
        <f>Lifetimes!C1</f>
        <v>AgriculturalFilmsDis</v>
      </c>
    </row>
    <row r="5" spans="1:6" ht="15" customHeight="1" thickBot="1">
      <c r="A5" s="325" t="s">
        <v>967</v>
      </c>
      <c r="B5" s="97" t="s">
        <v>1406</v>
      </c>
      <c r="C5" s="97" t="s">
        <v>1561</v>
      </c>
      <c r="D5" s="101" t="str">
        <f t="shared" si="0"/>
        <v>OK</v>
      </c>
      <c r="E5" s="82"/>
      <c r="F5" s="606" t="str">
        <f>Lifetimes!D1</f>
        <v>AgriculturalPackagingBottles</v>
      </c>
    </row>
    <row r="6" spans="1:6" ht="15" customHeight="1" thickBot="1">
      <c r="A6" s="325" t="s">
        <v>960</v>
      </c>
      <c r="B6" s="97" t="s">
        <v>1409</v>
      </c>
      <c r="C6" s="97" t="s">
        <v>1250</v>
      </c>
      <c r="D6" s="101" t="str">
        <f t="shared" si="0"/>
        <v>OK</v>
      </c>
      <c r="E6" s="82"/>
      <c r="F6" s="606" t="str">
        <f>Lifetimes!E1</f>
        <v>AgriculturalPackagingFilms</v>
      </c>
    </row>
    <row r="7" spans="1:6" ht="15" customHeight="1" thickBot="1">
      <c r="A7" s="325" t="s">
        <v>965</v>
      </c>
      <c r="B7" s="97" t="s">
        <v>1409</v>
      </c>
      <c r="C7" s="97" t="s">
        <v>975</v>
      </c>
      <c r="D7" s="101" t="str">
        <f t="shared" si="0"/>
        <v>OK</v>
      </c>
      <c r="E7" s="82"/>
      <c r="F7" s="606" t="str">
        <f>Lifetimes!F1</f>
        <v>AgriculturalPipesIU</v>
      </c>
    </row>
    <row r="8" spans="1:6" ht="15" customHeight="1" thickBot="1">
      <c r="A8" s="74" t="s">
        <v>153</v>
      </c>
      <c r="B8" s="97" t="s">
        <v>1409</v>
      </c>
      <c r="C8" s="97" t="s">
        <v>1265</v>
      </c>
      <c r="D8" s="101" t="str">
        <f t="shared" si="0"/>
        <v>OK</v>
      </c>
      <c r="E8" s="82"/>
      <c r="F8" s="606" t="str">
        <f>Lifetimes!G1</f>
        <v>AgriculturalPipesDis</v>
      </c>
    </row>
    <row r="9" spans="1:6" s="16" customFormat="1" ht="15" thickBot="1">
      <c r="A9" s="74" t="s">
        <v>162</v>
      </c>
      <c r="B9" s="97" t="s">
        <v>1409</v>
      </c>
      <c r="C9" s="97" t="s">
        <v>1266</v>
      </c>
      <c r="D9" s="101" t="str">
        <f t="shared" si="0"/>
        <v>OK</v>
      </c>
      <c r="E9" s="82"/>
      <c r="F9" s="606" t="str">
        <f>Lifetimes!H1</f>
        <v>AgriculturalPPP</v>
      </c>
    </row>
    <row r="10" spans="1:6" ht="15" thickBot="1">
      <c r="A10" s="74" t="s">
        <v>171</v>
      </c>
      <c r="B10" s="97" t="s">
        <v>1409</v>
      </c>
      <c r="C10" s="97" t="s">
        <v>1270</v>
      </c>
      <c r="D10" s="101" t="str">
        <f t="shared" si="0"/>
        <v>OK</v>
      </c>
      <c r="E10" s="82"/>
      <c r="F10" s="606" t="str">
        <f>Lifetimes!I1</f>
        <v>BuildingPackagingFilms</v>
      </c>
    </row>
    <row r="11" spans="1:6" ht="15" thickBot="1">
      <c r="A11" s="74" t="s">
        <v>172</v>
      </c>
      <c r="B11" s="97" t="s">
        <v>1409</v>
      </c>
      <c r="C11" s="97" t="s">
        <v>1271</v>
      </c>
      <c r="D11" s="101" t="str">
        <f t="shared" si="0"/>
        <v>OK</v>
      </c>
      <c r="E11" s="82"/>
      <c r="F11" s="606" t="str">
        <f>Lifetimes!J1</f>
        <v>ConsumerBags</v>
      </c>
    </row>
    <row r="12" spans="1:6" ht="15" thickBot="1">
      <c r="A12" s="74" t="s">
        <v>194</v>
      </c>
      <c r="B12" s="97" t="s">
        <v>1409</v>
      </c>
      <c r="C12" s="97" t="s">
        <v>1257</v>
      </c>
      <c r="D12" s="101" t="str">
        <f t="shared" si="0"/>
        <v>OK</v>
      </c>
      <c r="E12" s="82"/>
      <c r="F12" s="606" t="str">
        <f>Lifetimes!K1</f>
        <v>ConsumerBottles</v>
      </c>
    </row>
    <row r="13" spans="1:6" ht="15" thickBot="1">
      <c r="A13" s="74" t="s">
        <v>196</v>
      </c>
      <c r="B13" s="496" t="s">
        <v>1406</v>
      </c>
      <c r="C13" s="97" t="s">
        <v>1562</v>
      </c>
      <c r="D13" s="101" t="str">
        <f t="shared" si="0"/>
        <v>OK</v>
      </c>
      <c r="E13" s="82"/>
      <c r="F13" s="606" t="str">
        <f>Lifetimes!L1</f>
        <v>ConsumerFilms</v>
      </c>
    </row>
    <row r="14" spans="1:6" ht="15" thickBot="1">
      <c r="A14" s="495" t="s">
        <v>197</v>
      </c>
      <c r="B14" s="496" t="s">
        <v>1409</v>
      </c>
      <c r="C14" s="97" t="s">
        <v>1259</v>
      </c>
      <c r="D14" s="101" t="str">
        <f t="shared" si="0"/>
        <v>OK</v>
      </c>
      <c r="E14" s="82"/>
      <c r="F14" s="606" t="str">
        <f>Lifetimes!M1</f>
        <v>ConsumerOther</v>
      </c>
    </row>
    <row r="15" spans="1:6" ht="15" thickBot="1">
      <c r="A15" s="495" t="s">
        <v>198</v>
      </c>
      <c r="B15" s="496" t="s">
        <v>1409</v>
      </c>
      <c r="C15" s="97" t="s">
        <v>1258</v>
      </c>
      <c r="D15" s="101" t="str">
        <f t="shared" si="0"/>
        <v>OK</v>
      </c>
      <c r="E15" s="82"/>
      <c r="F15" s="606" t="str">
        <f>Lifetimes!N1</f>
        <v>Cosmetics</v>
      </c>
    </row>
    <row r="16" spans="1:6" ht="15" thickBot="1">
      <c r="A16" s="362" t="s">
        <v>167</v>
      </c>
      <c r="B16" s="496" t="s">
        <v>1406</v>
      </c>
      <c r="C16" s="496" t="s">
        <v>1563</v>
      </c>
      <c r="D16" s="101" t="str">
        <f t="shared" si="0"/>
        <v>OK</v>
      </c>
      <c r="E16" s="82"/>
      <c r="F16" s="606" t="str">
        <f>Lifetimes!O1</f>
        <v>Household</v>
      </c>
    </row>
    <row r="17" spans="1:6" ht="15" thickBot="1">
      <c r="A17" s="362" t="s">
        <v>206</v>
      </c>
      <c r="B17" s="496" t="s">
        <v>1406</v>
      </c>
      <c r="C17" s="496" t="s">
        <v>1564</v>
      </c>
      <c r="D17" s="101" t="str">
        <f t="shared" si="0"/>
        <v>OK</v>
      </c>
      <c r="E17" s="82"/>
      <c r="F17" s="606" t="str">
        <f>Lifetimes!P1</f>
        <v>NonConsumerBags</v>
      </c>
    </row>
    <row r="18" spans="1:6" ht="15" thickBot="1">
      <c r="A18" s="362" t="s">
        <v>207</v>
      </c>
      <c r="B18" s="496" t="s">
        <v>1406</v>
      </c>
      <c r="C18" s="496" t="s">
        <v>1565</v>
      </c>
      <c r="D18" s="101" t="str">
        <f t="shared" si="0"/>
        <v>OK</v>
      </c>
      <c r="E18" s="82"/>
      <c r="F18" s="606" t="str">
        <f>Lifetimes!Q1</f>
        <v>NonConsumerOther</v>
      </c>
    </row>
    <row r="19" spans="1:6" ht="15" thickBot="1">
      <c r="A19" s="74" t="s">
        <v>428</v>
      </c>
      <c r="B19" s="97" t="s">
        <v>1406</v>
      </c>
      <c r="C19" s="97" t="s">
        <v>1566</v>
      </c>
      <c r="D19" s="101" t="str">
        <f t="shared" si="0"/>
        <v>OK</v>
      </c>
      <c r="E19" s="82"/>
      <c r="F19" s="606" t="str">
        <f>Lifetimes!R1</f>
        <v>OtherNonConsumerFilms</v>
      </c>
    </row>
    <row r="20" spans="1:6" ht="15" thickBot="1">
      <c r="A20" s="325" t="s">
        <v>449</v>
      </c>
      <c r="B20" s="97" t="s">
        <v>1406</v>
      </c>
      <c r="C20" s="97" t="s">
        <v>1567</v>
      </c>
      <c r="D20" s="101" t="str">
        <f t="shared" si="0"/>
        <v>OK</v>
      </c>
      <c r="E20" s="82"/>
      <c r="F20" s="606" t="str">
        <f>Lifetimes!S1</f>
        <v>OtherOther</v>
      </c>
    </row>
    <row r="21" spans="1:6" ht="15" thickBot="1">
      <c r="A21" s="325" t="s">
        <v>447</v>
      </c>
      <c r="B21" s="97" t="s">
        <v>1409</v>
      </c>
      <c r="C21" s="97" t="s">
        <v>1275</v>
      </c>
      <c r="D21" s="101" t="str">
        <f t="shared" si="0"/>
        <v>OK</v>
      </c>
      <c r="E21" s="82"/>
      <c r="F21" s="606" t="str">
        <f>Lifetimes!T1</f>
        <v>PipesDucts</v>
      </c>
    </row>
    <row r="22" spans="1:6" ht="15" thickBot="1">
      <c r="A22" s="325" t="s">
        <v>452</v>
      </c>
      <c r="B22" s="97" t="s">
        <v>1409</v>
      </c>
      <c r="C22" s="97" t="s">
        <v>1276</v>
      </c>
      <c r="D22" s="101" t="str">
        <f t="shared" si="0"/>
        <v>OK</v>
      </c>
      <c r="E22" s="82"/>
      <c r="F22" s="606" t="str">
        <f>Lifetimes!U1</f>
        <v>OtherOilGas</v>
      </c>
    </row>
    <row r="23" spans="1:6" ht="15" thickBot="1">
      <c r="A23" s="325" t="s">
        <v>448</v>
      </c>
      <c r="B23" s="97" t="s">
        <v>1406</v>
      </c>
      <c r="C23" s="97" t="s">
        <v>1568</v>
      </c>
      <c r="D23" s="101" t="str">
        <f t="shared" si="0"/>
        <v>OK</v>
      </c>
      <c r="E23" s="82"/>
      <c r="F23" s="606" t="str">
        <f>Lifetimes!V1</f>
        <v>InfillSportsFieldDis</v>
      </c>
    </row>
    <row r="24" spans="1:6" ht="15" thickBot="1">
      <c r="A24" s="325" t="s">
        <v>450</v>
      </c>
      <c r="B24" s="97" t="s">
        <v>1409</v>
      </c>
      <c r="C24" s="97" t="s">
        <v>1277</v>
      </c>
      <c r="D24" s="101" t="str">
        <f t="shared" si="0"/>
        <v>OK</v>
      </c>
      <c r="E24" s="82"/>
      <c r="F24" s="606" t="str">
        <f>Lifetimes!W1</f>
        <v>InfillSportsFieldU</v>
      </c>
    </row>
    <row r="25" spans="1:6" ht="15" thickBot="1">
      <c r="A25" s="325" t="s">
        <v>451</v>
      </c>
      <c r="B25" s="97" t="s">
        <v>1409</v>
      </c>
      <c r="C25" s="97" t="s">
        <v>1278</v>
      </c>
      <c r="D25" s="101" t="str">
        <f t="shared" si="0"/>
        <v>OK</v>
      </c>
      <c r="E25" s="82"/>
      <c r="F25" s="606" t="str">
        <f>Lifetimes!AE1</f>
        <v>ClothingDis</v>
      </c>
    </row>
    <row r="26" spans="1:6" ht="15" thickBot="1">
      <c r="A26" s="74" t="s">
        <v>156</v>
      </c>
      <c r="B26" s="97" t="s">
        <v>1406</v>
      </c>
      <c r="C26" s="97" t="s">
        <v>1569</v>
      </c>
      <c r="D26" s="101" t="str">
        <f t="shared" si="0"/>
        <v>OK</v>
      </c>
      <c r="E26" s="82"/>
      <c r="F26" s="606" t="str">
        <f>Lifetimes!AF1</f>
        <v>ClothingIUWearTear</v>
      </c>
    </row>
    <row r="27" spans="1:6" ht="15" thickBot="1">
      <c r="A27" s="74" t="s">
        <v>227</v>
      </c>
      <c r="B27" s="97" t="s">
        <v>1406</v>
      </c>
      <c r="C27" s="97" t="s">
        <v>1570</v>
      </c>
      <c r="D27" s="101" t="str">
        <f t="shared" si="0"/>
        <v>OK</v>
      </c>
      <c r="E27" s="82"/>
      <c r="F27" s="606" t="str">
        <f>Lifetimes!AG1</f>
        <v>ClothingIUWashDry</v>
      </c>
    </row>
    <row r="28" spans="1:6" ht="15" thickBot="1">
      <c r="A28" s="74" t="s">
        <v>109</v>
      </c>
      <c r="B28" s="97" t="s">
        <v>1406</v>
      </c>
      <c r="C28" s="97" t="s">
        <v>1571</v>
      </c>
      <c r="D28" s="101" t="str">
        <f t="shared" si="0"/>
        <v>OK</v>
      </c>
      <c r="E28" s="82"/>
      <c r="F28" s="606" t="str">
        <f>Lifetimes!AH1</f>
        <v>HomeTextilesDis</v>
      </c>
    </row>
    <row r="29" spans="1:6" ht="15" thickBot="1">
      <c r="A29" s="74" t="s">
        <v>267</v>
      </c>
      <c r="B29" s="97" t="s">
        <v>1412</v>
      </c>
      <c r="C29" s="97" t="s">
        <v>1572</v>
      </c>
      <c r="D29" s="101" t="str">
        <f t="shared" si="0"/>
        <v>OK</v>
      </c>
      <c r="E29" s="82"/>
      <c r="F29" s="606" t="str">
        <f>Lifetimes!AI1</f>
        <v>HomeTextilesIU</v>
      </c>
    </row>
    <row r="30" spans="1:6" ht="15" thickBot="1">
      <c r="A30" s="74" t="s">
        <v>159</v>
      </c>
      <c r="B30" s="97" t="s">
        <v>1406</v>
      </c>
      <c r="C30" s="97" t="s">
        <v>1573</v>
      </c>
      <c r="D30" s="101" t="str">
        <f t="shared" si="0"/>
        <v>OK</v>
      </c>
      <c r="E30" s="82"/>
      <c r="F30" s="606" t="str">
        <f>Lifetimes!AJ1</f>
        <v>TechHomeTextilesDis</v>
      </c>
    </row>
    <row r="31" spans="1:6" ht="15" thickBot="1">
      <c r="A31" s="74" t="s">
        <v>268</v>
      </c>
      <c r="B31" s="97" t="s">
        <v>1406</v>
      </c>
      <c r="C31" s="97" t="s">
        <v>1574</v>
      </c>
      <c r="D31" s="101" t="str">
        <f t="shared" si="0"/>
        <v>OK</v>
      </c>
      <c r="E31" s="82"/>
      <c r="F31" s="606" t="str">
        <f>Lifetimes!AK1</f>
        <v>TechHomeTextilesIU</v>
      </c>
    </row>
    <row r="32" spans="1:6" ht="15" thickBot="1">
      <c r="A32" s="74" t="s">
        <v>186</v>
      </c>
      <c r="B32" s="97" t="s">
        <v>1409</v>
      </c>
      <c r="C32" s="97" t="s">
        <v>1268</v>
      </c>
      <c r="D32" s="101" t="str">
        <f t="shared" si="0"/>
        <v>OK</v>
      </c>
      <c r="E32" s="82"/>
      <c r="F32" s="606" t="str">
        <f>Lifetimes!AL1</f>
        <v>MedicalTextiles</v>
      </c>
    </row>
    <row r="33" spans="1:6" ht="15" thickBot="1">
      <c r="A33" s="74" t="s">
        <v>187</v>
      </c>
      <c r="B33" s="97" t="s">
        <v>1409</v>
      </c>
      <c r="C33" s="97" t="s">
        <v>1269</v>
      </c>
      <c r="D33" s="101" t="str">
        <f t="shared" si="0"/>
        <v>OK</v>
      </c>
      <c r="E33" s="82"/>
      <c r="F33" s="606" t="str">
        <f>Lifetimes!AM1</f>
        <v>AgrotextilesDis</v>
      </c>
    </row>
    <row r="34" spans="1:6" ht="15" thickBot="1">
      <c r="A34" s="325" t="s">
        <v>269</v>
      </c>
      <c r="B34" s="97" t="s">
        <v>1406</v>
      </c>
      <c r="C34" s="97" t="s">
        <v>269</v>
      </c>
      <c r="D34" s="101" t="str">
        <f t="shared" si="0"/>
        <v>OK</v>
      </c>
      <c r="E34" s="82"/>
      <c r="F34" s="606" t="str">
        <f>Lifetimes!AN1</f>
        <v>AgrotextilesIU</v>
      </c>
    </row>
    <row r="35" spans="1:6" ht="15" thickBot="1">
      <c r="A35" s="325" t="s">
        <v>270</v>
      </c>
      <c r="B35" s="97" t="s">
        <v>1406</v>
      </c>
      <c r="C35" s="97" t="s">
        <v>1575</v>
      </c>
      <c r="D35" s="101" t="str">
        <f t="shared" si="0"/>
        <v>OK</v>
      </c>
      <c r="E35" s="82"/>
      <c r="F35" s="606" t="str">
        <f>Lifetimes!AO1</f>
        <v>MobilityTextiles</v>
      </c>
    </row>
    <row r="36" spans="1:6" ht="15" thickBot="1">
      <c r="A36" s="325" t="s">
        <v>271</v>
      </c>
      <c r="B36" s="97" t="s">
        <v>1406</v>
      </c>
      <c r="C36" s="97" t="s">
        <v>1576</v>
      </c>
      <c r="D36" s="101" t="str">
        <f t="shared" si="0"/>
        <v>OK</v>
      </c>
      <c r="E36" s="82"/>
      <c r="F36" s="606" t="str">
        <f>Lifetimes!AP1</f>
        <v>GeotextilesDis</v>
      </c>
    </row>
    <row r="37" spans="1:6" ht="15" thickBot="1">
      <c r="A37" s="325" t="s">
        <v>379</v>
      </c>
      <c r="B37" s="97" t="s">
        <v>1406</v>
      </c>
      <c r="C37" s="97" t="s">
        <v>1577</v>
      </c>
      <c r="D37" s="101" t="str">
        <f t="shared" si="0"/>
        <v>OK</v>
      </c>
      <c r="E37" s="82"/>
      <c r="F37" s="606" t="str">
        <f>Lifetimes!AQ1</f>
        <v>GeotextilesIU</v>
      </c>
    </row>
    <row r="38" spans="1:6" ht="15" thickBot="1">
      <c r="A38" s="325" t="s">
        <v>275</v>
      </c>
      <c r="B38" s="97" t="s">
        <v>1406</v>
      </c>
      <c r="C38" s="97" t="s">
        <v>1578</v>
      </c>
      <c r="D38" s="101" t="str">
        <f t="shared" si="0"/>
        <v>OK</v>
      </c>
      <c r="E38" s="82"/>
      <c r="F38" s="606" t="str">
        <f>Lifetimes!AR1</f>
        <v>BuildingTextilesDis</v>
      </c>
    </row>
    <row r="39" spans="1:6" ht="15" thickBot="1">
      <c r="A39" s="495" t="s">
        <v>189</v>
      </c>
      <c r="B39" s="97" t="s">
        <v>1406</v>
      </c>
      <c r="C39" s="97" t="s">
        <v>1579</v>
      </c>
      <c r="D39" s="101" t="str">
        <f t="shared" si="0"/>
        <v>OK</v>
      </c>
      <c r="E39" s="82"/>
      <c r="F39" s="606" t="str">
        <f>Lifetimes!AS1</f>
        <v>BuildingTextilesIU</v>
      </c>
    </row>
    <row r="40" spans="1:6" ht="15" thickBot="1">
      <c r="A40" s="74" t="s">
        <v>190</v>
      </c>
      <c r="B40" s="97" t="s">
        <v>1409</v>
      </c>
      <c r="C40" s="97" t="s">
        <v>1260</v>
      </c>
      <c r="D40" s="101" t="str">
        <f t="shared" si="0"/>
        <v>OK</v>
      </c>
      <c r="E40" s="82"/>
      <c r="F40" s="606" t="str">
        <f>Lifetimes!AT1</f>
        <v>OtherTechnicalTextiles</v>
      </c>
    </row>
    <row r="41" spans="1:6" ht="15" thickBot="1">
      <c r="A41" s="74" t="s">
        <v>191</v>
      </c>
      <c r="B41" s="97" t="s">
        <v>1409</v>
      </c>
      <c r="C41" s="97" t="s">
        <v>1261</v>
      </c>
      <c r="D41" s="101" t="str">
        <f t="shared" si="0"/>
        <v>OK</v>
      </c>
      <c r="E41" s="82"/>
      <c r="F41" s="606" t="str">
        <f>Lifetimes!AU1</f>
        <v>TextileCoatingDis</v>
      </c>
    </row>
    <row r="42" spans="1:6" ht="15" thickBot="1">
      <c r="A42" s="74" t="s">
        <v>114</v>
      </c>
      <c r="B42" s="97" t="s">
        <v>1406</v>
      </c>
      <c r="C42" s="97" t="s">
        <v>1580</v>
      </c>
      <c r="D42" s="101" t="str">
        <f t="shared" si="0"/>
        <v>OK</v>
      </c>
      <c r="E42" s="82"/>
      <c r="F42" s="606" t="str">
        <f>Lifetimes!AV1</f>
        <v>TextileCoatingIU</v>
      </c>
    </row>
    <row r="43" spans="1:6" ht="15" thickBot="1">
      <c r="A43" s="74" t="s">
        <v>1581</v>
      </c>
      <c r="B43" s="97" t="s">
        <v>1406</v>
      </c>
      <c r="C43" s="97" t="s">
        <v>1582</v>
      </c>
      <c r="D43" s="101" t="str">
        <f t="shared" si="0"/>
        <v>OK</v>
      </c>
      <c r="E43" s="82"/>
      <c r="F43" s="606" t="str">
        <f>Lifetimes!AW1</f>
        <v>ConcreteProfInDis</v>
      </c>
    </row>
    <row r="44" spans="1:6" ht="15" thickBot="1">
      <c r="A44" s="74" t="s">
        <v>1583</v>
      </c>
      <c r="B44" s="97" t="s">
        <v>1406</v>
      </c>
      <c r="C44" s="97" t="s">
        <v>1584</v>
      </c>
      <c r="D44" s="101" t="str">
        <f t="shared" si="0"/>
        <v>OK</v>
      </c>
      <c r="E44" s="82"/>
      <c r="F44" s="606" t="str">
        <f>Lifetimes!AX1</f>
        <v>ConcreteProfInIU</v>
      </c>
    </row>
    <row r="45" spans="1:6" ht="15" thickBot="1">
      <c r="A45" s="74" t="s">
        <v>1585</v>
      </c>
      <c r="B45" s="97" t="s">
        <v>1406</v>
      </c>
      <c r="C45" s="97" t="s">
        <v>1586</v>
      </c>
      <c r="D45" s="101" t="str">
        <f t="shared" si="0"/>
        <v>OK</v>
      </c>
      <c r="E45" s="82"/>
      <c r="F45" s="606" t="str">
        <f>Lifetimes!AY1</f>
        <v>ConcreteProfOutDis</v>
      </c>
    </row>
    <row r="46" spans="1:6" ht="15" thickBot="1">
      <c r="A46" s="74" t="s">
        <v>1587</v>
      </c>
      <c r="B46" s="97" t="s">
        <v>1406</v>
      </c>
      <c r="C46" s="97" t="s">
        <v>1588</v>
      </c>
      <c r="D46" s="101" t="str">
        <f t="shared" si="0"/>
        <v>OK</v>
      </c>
      <c r="E46" s="82"/>
      <c r="F46" s="606" t="str">
        <f>Lifetimes!AZ1</f>
        <v>ConcreteProfOutIU</v>
      </c>
    </row>
    <row r="47" spans="1:6" ht="15" thickBot="1">
      <c r="A47" s="74" t="s">
        <v>1589</v>
      </c>
      <c r="B47" s="97" t="s">
        <v>1406</v>
      </c>
      <c r="C47" s="97" t="s">
        <v>1590</v>
      </c>
      <c r="D47" s="101" t="str">
        <f t="shared" si="0"/>
        <v>OK</v>
      </c>
      <c r="E47" s="82"/>
      <c r="F47" s="606" t="str">
        <f>Lifetimes!BA1</f>
        <v>LacquerDiyInDis</v>
      </c>
    </row>
    <row r="48" spans="1:6" ht="15" thickBot="1">
      <c r="A48" s="74" t="s">
        <v>1591</v>
      </c>
      <c r="B48" s="97" t="s">
        <v>1406</v>
      </c>
      <c r="C48" s="97" t="s">
        <v>1592</v>
      </c>
      <c r="D48" s="101" t="str">
        <f t="shared" si="0"/>
        <v>OK</v>
      </c>
      <c r="E48" s="82"/>
      <c r="F48" s="606" t="str">
        <f>Lifetimes!BB1</f>
        <v>LacquerDiyInIU</v>
      </c>
    </row>
    <row r="49" spans="1:6" ht="15" thickBot="1">
      <c r="A49" s="74" t="s">
        <v>1593</v>
      </c>
      <c r="B49" s="97" t="s">
        <v>1406</v>
      </c>
      <c r="C49" s="97" t="s">
        <v>1594</v>
      </c>
      <c r="D49" s="101" t="str">
        <f t="shared" si="0"/>
        <v>OK</v>
      </c>
      <c r="E49" s="82"/>
      <c r="F49" s="606" t="str">
        <f>Lifetimes!BC1</f>
        <v>LacquerDiyOutDis</v>
      </c>
    </row>
    <row r="50" spans="1:6" ht="15" thickBot="1">
      <c r="A50" s="74" t="s">
        <v>1595</v>
      </c>
      <c r="B50" s="97" t="s">
        <v>1406</v>
      </c>
      <c r="C50" s="97" t="s">
        <v>1596</v>
      </c>
      <c r="D50" s="101" t="str">
        <f t="shared" si="0"/>
        <v>OK</v>
      </c>
      <c r="E50" s="82"/>
      <c r="F50" s="606" t="str">
        <f>Lifetimes!BD1</f>
        <v>LacquerDiyOutIU</v>
      </c>
    </row>
    <row r="51" spans="1:6" ht="15" thickBot="1">
      <c r="A51" s="74" t="s">
        <v>1597</v>
      </c>
      <c r="B51" s="97" t="s">
        <v>1406</v>
      </c>
      <c r="C51" s="97" t="s">
        <v>1598</v>
      </c>
      <c r="D51" s="101" t="str">
        <f t="shared" si="0"/>
        <v>OK</v>
      </c>
      <c r="E51" s="82"/>
      <c r="F51" s="606" t="str">
        <f>Lifetimes!BE1</f>
        <v>LacquerProfInDis</v>
      </c>
    </row>
    <row r="52" spans="1:6" ht="15" thickBot="1">
      <c r="A52" s="74" t="s">
        <v>1599</v>
      </c>
      <c r="B52" s="97" t="s">
        <v>1406</v>
      </c>
      <c r="C52" s="97" t="s">
        <v>1600</v>
      </c>
      <c r="D52" s="101" t="str">
        <f t="shared" si="0"/>
        <v>OK</v>
      </c>
      <c r="E52" s="82"/>
      <c r="F52" s="606" t="str">
        <f>Lifetimes!BF1</f>
        <v>LacquerProfInIU</v>
      </c>
    </row>
    <row r="53" spans="1:6" ht="15" thickBot="1">
      <c r="A53" s="74" t="s">
        <v>1601</v>
      </c>
      <c r="B53" s="97" t="s">
        <v>1406</v>
      </c>
      <c r="C53" s="97" t="s">
        <v>1602</v>
      </c>
      <c r="D53" s="101" t="str">
        <f t="shared" si="0"/>
        <v>OK</v>
      </c>
      <c r="E53" s="82"/>
      <c r="F53" s="606" t="str">
        <f>Lifetimes!BG1</f>
        <v>LacquerProfOutDis</v>
      </c>
    </row>
    <row r="54" spans="1:6" ht="15" thickBot="1">
      <c r="A54" s="74" t="s">
        <v>254</v>
      </c>
      <c r="B54" s="97" t="s">
        <v>1412</v>
      </c>
      <c r="C54" s="97" t="s">
        <v>1603</v>
      </c>
      <c r="D54" s="101" t="str">
        <f t="shared" si="0"/>
        <v>OK</v>
      </c>
      <c r="E54" s="82"/>
      <c r="F54" s="606" t="str">
        <f>Lifetimes!BH1</f>
        <v>LacquerProfOutIU</v>
      </c>
    </row>
    <row r="55" spans="1:6" ht="15" thickBot="1">
      <c r="A55" s="74" t="s">
        <v>308</v>
      </c>
      <c r="B55" s="97" t="s">
        <v>1406</v>
      </c>
      <c r="C55" s="97" t="s">
        <v>1604</v>
      </c>
      <c r="D55" s="101" t="str">
        <f t="shared" si="0"/>
        <v>OK</v>
      </c>
      <c r="E55" s="82"/>
      <c r="F55" s="606" t="str">
        <f>Lifetimes!BI1</f>
        <v>OtherPaintUsesDiyInDis</v>
      </c>
    </row>
    <row r="56" spans="1:6" ht="15" thickBot="1">
      <c r="A56" s="74" t="s">
        <v>310</v>
      </c>
      <c r="B56" s="97" t="s">
        <v>1409</v>
      </c>
      <c r="C56" s="97" t="s">
        <v>1255</v>
      </c>
      <c r="D56" s="101" t="str">
        <f t="shared" si="0"/>
        <v>OK</v>
      </c>
      <c r="E56" s="82"/>
      <c r="F56" s="606" t="str">
        <f>Lifetimes!BJ1</f>
        <v>OtherPaintUsesDiyInIU</v>
      </c>
    </row>
    <row r="57" spans="1:6" ht="15" thickBot="1">
      <c r="A57" s="74" t="s">
        <v>311</v>
      </c>
      <c r="B57" s="97" t="s">
        <v>1409</v>
      </c>
      <c r="C57" s="97" t="s">
        <v>1256</v>
      </c>
      <c r="D57" s="101" t="str">
        <f t="shared" si="0"/>
        <v>OK</v>
      </c>
      <c r="E57" s="82"/>
      <c r="F57" s="606" t="str">
        <f>Lifetimes!BK1</f>
        <v>OtherPaintUsesDiyOutDis</v>
      </c>
    </row>
    <row r="58" spans="1:6" ht="15" thickBot="1">
      <c r="A58" s="74" t="s">
        <v>37</v>
      </c>
      <c r="B58" s="97" t="s">
        <v>1406</v>
      </c>
      <c r="C58" s="97" t="s">
        <v>1605</v>
      </c>
      <c r="D58" s="101" t="str">
        <f t="shared" si="0"/>
        <v>OK</v>
      </c>
      <c r="E58" s="82"/>
      <c r="F58" s="606" t="str">
        <f>Lifetimes!BL1</f>
        <v>OtherPaintUsesDiyOutIU</v>
      </c>
    </row>
    <row r="59" spans="1:6" ht="15" thickBot="1">
      <c r="A59" s="74" t="s">
        <v>1606</v>
      </c>
      <c r="B59" s="97" t="s">
        <v>1406</v>
      </c>
      <c r="C59" s="97" t="s">
        <v>1607</v>
      </c>
      <c r="D59" s="101" t="str">
        <f t="shared" si="0"/>
        <v>OK</v>
      </c>
      <c r="E59" s="82"/>
      <c r="F59" s="606" t="str">
        <f>Lifetimes!BM1</f>
        <v>OtherPaintUsesProfInDis</v>
      </c>
    </row>
    <row r="60" spans="1:6" ht="15" thickBot="1">
      <c r="A60" s="74" t="s">
        <v>1608</v>
      </c>
      <c r="B60" s="97" t="s">
        <v>1406</v>
      </c>
      <c r="C60" s="97" t="s">
        <v>1609</v>
      </c>
      <c r="D60" s="101" t="str">
        <f t="shared" si="0"/>
        <v>OK</v>
      </c>
      <c r="E60" s="82"/>
      <c r="F60" s="606" t="str">
        <f>Lifetimes!BN1</f>
        <v>OtherPaintUsesProfInIU</v>
      </c>
    </row>
    <row r="61" spans="1:6" ht="15" thickBot="1">
      <c r="A61" s="74" t="s">
        <v>1610</v>
      </c>
      <c r="B61" s="97" t="s">
        <v>1406</v>
      </c>
      <c r="C61" s="97" t="s">
        <v>1611</v>
      </c>
      <c r="D61" s="101" t="str">
        <f t="shared" si="0"/>
        <v>OK</v>
      </c>
      <c r="E61" s="82"/>
      <c r="F61" s="606" t="str">
        <f>Lifetimes!BO1</f>
        <v>OtherPaintUsesProfOutDis</v>
      </c>
    </row>
    <row r="62" spans="1:6" ht="15" thickBot="1">
      <c r="A62" s="74" t="s">
        <v>1612</v>
      </c>
      <c r="B62" s="97" t="s">
        <v>1406</v>
      </c>
      <c r="C62" s="97" t="s">
        <v>1613</v>
      </c>
      <c r="D62" s="101" t="str">
        <f t="shared" si="0"/>
        <v>OK</v>
      </c>
      <c r="E62" s="82"/>
      <c r="F62" s="606" t="str">
        <f>Lifetimes!BP1</f>
        <v>OtherPaintUsesProfOutIU</v>
      </c>
    </row>
    <row r="63" spans="1:6" ht="15" thickBot="1">
      <c r="A63" s="74" t="s">
        <v>313</v>
      </c>
      <c r="B63" s="97" t="s">
        <v>1406</v>
      </c>
      <c r="C63" s="97" t="s">
        <v>1614</v>
      </c>
      <c r="D63" s="101" t="str">
        <f t="shared" si="0"/>
        <v>OK</v>
      </c>
      <c r="E63" s="82"/>
      <c r="F63" s="606" t="str">
        <f>Lifetimes!BQ1</f>
        <v>PaintsPreMadeWoodInDis</v>
      </c>
    </row>
    <row r="64" spans="1:6" ht="15" thickBot="1">
      <c r="A64" s="74" t="s">
        <v>436</v>
      </c>
      <c r="B64" s="97" t="s">
        <v>1406</v>
      </c>
      <c r="C64" s="97" t="s">
        <v>1615</v>
      </c>
      <c r="D64" s="101" t="str">
        <f t="shared" si="0"/>
        <v>OK</v>
      </c>
      <c r="E64" s="82"/>
      <c r="F64" s="606" t="str">
        <f>Lifetimes!BR1</f>
        <v>PaintsPreMadeWoodInIU</v>
      </c>
    </row>
    <row r="65" spans="1:6" ht="15" thickBot="1">
      <c r="A65" s="325" t="s">
        <v>492</v>
      </c>
      <c r="B65" s="97" t="s">
        <v>1406</v>
      </c>
      <c r="C65" s="97" t="s">
        <v>1616</v>
      </c>
      <c r="D65" s="101" t="str">
        <f t="shared" si="0"/>
        <v>OK</v>
      </c>
      <c r="E65" s="82"/>
      <c r="F65" s="606" t="str">
        <f>Lifetimes!BS1</f>
        <v>PaintsPreMadeWoodOutDis</v>
      </c>
    </row>
    <row r="66" spans="1:6" ht="15" thickBot="1">
      <c r="A66" s="325" t="s">
        <v>496</v>
      </c>
      <c r="B66" s="97" t="s">
        <v>1409</v>
      </c>
      <c r="C66" s="97" t="s">
        <v>1279</v>
      </c>
      <c r="D66" s="101" t="str">
        <f t="shared" si="0"/>
        <v>OK</v>
      </c>
      <c r="E66" s="82"/>
      <c r="F66" s="606" t="str">
        <f>Lifetimes!BT1</f>
        <v>PaintsPreMadeWoodOutIU</v>
      </c>
    </row>
    <row r="67" spans="1:6" ht="15" thickBot="1">
      <c r="A67" s="325" t="s">
        <v>495</v>
      </c>
      <c r="B67" s="97" t="s">
        <v>1409</v>
      </c>
      <c r="C67" s="97" t="s">
        <v>1280</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 thickBot="1">
      <c r="A68" s="325" t="s">
        <v>491</v>
      </c>
      <c r="B68" s="97" t="s">
        <v>1406</v>
      </c>
      <c r="C68" s="97" t="s">
        <v>1617</v>
      </c>
      <c r="D68" s="101" t="str">
        <f t="shared" si="1"/>
        <v>OK</v>
      </c>
      <c r="E68" s="82"/>
      <c r="F68" s="606" t="str">
        <f>Lifetimes!BV1</f>
        <v>PlasterDiyInIU</v>
      </c>
    </row>
    <row r="69" spans="1:6" ht="15" thickBot="1">
      <c r="A69" s="325" t="s">
        <v>494</v>
      </c>
      <c r="B69" s="97" t="s">
        <v>1409</v>
      </c>
      <c r="C69" s="97" t="s">
        <v>1281</v>
      </c>
      <c r="D69" s="101" t="str">
        <f t="shared" si="1"/>
        <v>OK</v>
      </c>
      <c r="E69" s="82"/>
      <c r="F69" s="606" t="str">
        <f>Lifetimes!BW1</f>
        <v>PlasterDiyOutDis</v>
      </c>
    </row>
    <row r="70" spans="1:6" ht="15" thickBot="1">
      <c r="A70" s="325" t="s">
        <v>493</v>
      </c>
      <c r="B70" s="97" t="s">
        <v>1409</v>
      </c>
      <c r="C70" s="97" t="s">
        <v>1282</v>
      </c>
      <c r="D70" s="101" t="str">
        <f t="shared" si="1"/>
        <v>OK</v>
      </c>
      <c r="E70" s="82"/>
      <c r="F70" s="606" t="str">
        <f>Lifetimes!BX1</f>
        <v>PlasterDiyOutIU</v>
      </c>
    </row>
    <row r="71" spans="1:6" ht="15" thickBot="1">
      <c r="A71" s="74" t="s">
        <v>430</v>
      </c>
      <c r="B71" s="97" t="s">
        <v>1406</v>
      </c>
      <c r="C71" s="97" t="s">
        <v>1618</v>
      </c>
      <c r="D71" s="101" t="str">
        <f t="shared" si="1"/>
        <v>OK</v>
      </c>
      <c r="E71" s="82"/>
      <c r="F71" s="606" t="str">
        <f>Lifetimes!BY1</f>
        <v>PlasterProfInDis</v>
      </c>
    </row>
    <row r="72" spans="1:6" ht="15" thickBot="1">
      <c r="A72" s="325" t="s">
        <v>454</v>
      </c>
      <c r="B72" s="97" t="s">
        <v>1406</v>
      </c>
      <c r="C72" s="97" t="s">
        <v>1619</v>
      </c>
      <c r="D72" s="101" t="str">
        <f t="shared" si="1"/>
        <v>OK</v>
      </c>
      <c r="E72" s="82"/>
      <c r="F72" s="606" t="str">
        <f>Lifetimes!BZ1</f>
        <v>PlasterProfInIU</v>
      </c>
    </row>
    <row r="73" spans="1:6" ht="15" thickBot="1">
      <c r="A73" s="325" t="s">
        <v>458</v>
      </c>
      <c r="B73" s="97" t="s">
        <v>1409</v>
      </c>
      <c r="C73" s="97" t="s">
        <v>1283</v>
      </c>
      <c r="D73" s="101" t="str">
        <f t="shared" si="1"/>
        <v>OK</v>
      </c>
      <c r="E73" s="82"/>
      <c r="F73" s="606" t="str">
        <f>Lifetimes!CA1</f>
        <v>PlasterProfOutDis</v>
      </c>
    </row>
    <row r="74" spans="1:6" ht="15" thickBot="1">
      <c r="A74" s="325" t="s">
        <v>457</v>
      </c>
      <c r="B74" s="97" t="s">
        <v>1409</v>
      </c>
      <c r="C74" s="97" t="s">
        <v>1284</v>
      </c>
      <c r="D74" s="101" t="str">
        <f t="shared" si="1"/>
        <v>OK</v>
      </c>
      <c r="E74" s="82"/>
      <c r="F74" s="606" t="str">
        <f>Lifetimes!CB1</f>
        <v>PlasterProfOutIU</v>
      </c>
    </row>
    <row r="75" spans="1:6" ht="15" thickBot="1">
      <c r="A75" s="325" t="s">
        <v>453</v>
      </c>
      <c r="B75" s="97" t="s">
        <v>1406</v>
      </c>
      <c r="C75" s="97" t="s">
        <v>1620</v>
      </c>
      <c r="D75" s="101" t="str">
        <f t="shared" si="1"/>
        <v>OK</v>
      </c>
      <c r="E75" s="82"/>
      <c r="F75" s="606" t="str">
        <f>Lifetimes!CC1</f>
        <v>ShipProfDis</v>
      </c>
    </row>
    <row r="76" spans="1:6" ht="15" thickBot="1">
      <c r="A76" s="325" t="s">
        <v>456</v>
      </c>
      <c r="B76" s="97" t="s">
        <v>1409</v>
      </c>
      <c r="C76" s="97" t="s">
        <v>1285</v>
      </c>
      <c r="D76" s="101" t="str">
        <f t="shared" si="1"/>
        <v>OK</v>
      </c>
      <c r="E76" s="82"/>
      <c r="F76" s="606" t="str">
        <f>Lifetimes!CD1</f>
        <v>ShipProfIU</v>
      </c>
    </row>
    <row r="77" spans="1:6" ht="15" thickBot="1">
      <c r="A77" s="325" t="s">
        <v>455</v>
      </c>
      <c r="B77" s="97" t="s">
        <v>1409</v>
      </c>
      <c r="C77" s="97" t="s">
        <v>1286</v>
      </c>
      <c r="D77" s="101" t="str">
        <f t="shared" si="1"/>
        <v>OK</v>
      </c>
      <c r="E77" s="82"/>
      <c r="F77" s="606" t="str">
        <f>Lifetimes!CE1</f>
        <v>ShipDiyDis</v>
      </c>
    </row>
    <row r="78" spans="1:6" ht="15" thickBot="1">
      <c r="A78" s="74" t="s">
        <v>1621</v>
      </c>
      <c r="B78" s="97" t="s">
        <v>1406</v>
      </c>
      <c r="C78" s="97" t="s">
        <v>1622</v>
      </c>
      <c r="D78" s="101" t="str">
        <f t="shared" si="1"/>
        <v>OK</v>
      </c>
      <c r="E78" s="82"/>
      <c r="F78" s="606" t="str">
        <f>Lifetimes!CF1</f>
        <v>ShipDiyIU</v>
      </c>
    </row>
    <row r="79" spans="1:6" ht="15" thickBot="1">
      <c r="A79" s="74" t="s">
        <v>1623</v>
      </c>
      <c r="B79" s="97" t="s">
        <v>1406</v>
      </c>
      <c r="C79" s="97" t="s">
        <v>1624</v>
      </c>
      <c r="D79" s="101" t="str">
        <f t="shared" si="1"/>
        <v>OK</v>
      </c>
      <c r="E79" s="82"/>
      <c r="F79" s="606" t="str">
        <f>Lifetimes!CG1</f>
        <v>WallPaintDiyIndoorAppliedDis</v>
      </c>
    </row>
    <row r="80" spans="1:6" ht="15" thickBot="1">
      <c r="A80" s="74" t="s">
        <v>1625</v>
      </c>
      <c r="B80" s="97" t="s">
        <v>1406</v>
      </c>
      <c r="C80" s="97" t="s">
        <v>1626</v>
      </c>
      <c r="D80" s="101" t="str">
        <f t="shared" si="1"/>
        <v>OK</v>
      </c>
      <c r="E80" s="82"/>
      <c r="F80" s="607" t="str">
        <f>Lifetimes!CH1</f>
        <v>WallPaintDiyIndoorAppliedIU</v>
      </c>
    </row>
    <row r="81" spans="1:6" ht="15" thickBot="1">
      <c r="A81" s="74" t="s">
        <v>1627</v>
      </c>
      <c r="B81" s="97" t="s">
        <v>1406</v>
      </c>
      <c r="C81" s="97" t="s">
        <v>1628</v>
      </c>
      <c r="D81" s="101" t="str">
        <f t="shared" si="1"/>
        <v>OK</v>
      </c>
      <c r="E81" s="82"/>
      <c r="F81" s="607" t="str">
        <f>Lifetimes!CI1</f>
        <v>WallPaintDiyOutDis</v>
      </c>
    </row>
    <row r="82" spans="1:6" ht="15" thickBot="1">
      <c r="A82" s="74" t="s">
        <v>345</v>
      </c>
      <c r="B82" s="97" t="s">
        <v>1409</v>
      </c>
      <c r="C82" s="97" t="s">
        <v>1264</v>
      </c>
      <c r="D82" s="101" t="str">
        <f t="shared" si="1"/>
        <v>OK</v>
      </c>
      <c r="E82" s="82"/>
      <c r="F82" s="607" t="str">
        <f>Lifetimes!CJ1</f>
        <v>WallPaintDiyOutIU</v>
      </c>
    </row>
    <row r="83" spans="1:6" ht="15" thickBot="1">
      <c r="A83" s="74" t="s">
        <v>337</v>
      </c>
      <c r="B83" s="97" t="s">
        <v>1406</v>
      </c>
      <c r="C83" s="97" t="s">
        <v>1629</v>
      </c>
      <c r="D83" s="101" t="str">
        <f t="shared" si="1"/>
        <v>OK</v>
      </c>
      <c r="E83" s="82"/>
      <c r="F83" s="607" t="str">
        <f>Lifetimes!CK1</f>
        <v>WallPaintProfInDis</v>
      </c>
    </row>
    <row r="84" spans="1:6" ht="15" thickBot="1">
      <c r="A84" s="74" t="s">
        <v>333</v>
      </c>
      <c r="B84" s="97" t="s">
        <v>1406</v>
      </c>
      <c r="C84" s="97" t="s">
        <v>1630</v>
      </c>
      <c r="D84" s="101" t="str">
        <f t="shared" si="1"/>
        <v>OK</v>
      </c>
      <c r="E84" s="82"/>
      <c r="F84" s="607" t="str">
        <f>Lifetimes!CL1</f>
        <v>WallPaintProfInIU</v>
      </c>
    </row>
    <row r="85" spans="1:6" ht="15" thickBot="1">
      <c r="A85" s="74" t="s">
        <v>361</v>
      </c>
      <c r="B85" s="97" t="s">
        <v>1406</v>
      </c>
      <c r="C85" s="97" t="s">
        <v>1631</v>
      </c>
      <c r="D85" s="101" t="str">
        <f t="shared" si="1"/>
        <v>OK</v>
      </c>
      <c r="E85" s="82"/>
      <c r="F85" s="607" t="str">
        <f>Lifetimes!CM1</f>
        <v>WallPaintProfOutDis</v>
      </c>
    </row>
    <row r="86" spans="1:6" ht="15" thickBot="1">
      <c r="A86" s="74" t="s">
        <v>440</v>
      </c>
      <c r="B86" s="97" t="s">
        <v>1406</v>
      </c>
      <c r="C86" s="97" t="s">
        <v>1632</v>
      </c>
      <c r="D86" s="101" t="str">
        <f t="shared" si="1"/>
        <v>OK</v>
      </c>
      <c r="E86" s="82"/>
      <c r="F86" s="607" t="str">
        <f>Lifetimes!CN1</f>
        <v>WallPaintProfOutIU</v>
      </c>
    </row>
    <row r="87" spans="1:6" ht="15" thickBot="1">
      <c r="A87" s="325" t="s">
        <v>518</v>
      </c>
      <c r="B87" s="97" t="s">
        <v>1406</v>
      </c>
      <c r="C87" s="97" t="s">
        <v>1633</v>
      </c>
      <c r="D87" s="101" t="str">
        <f t="shared" si="1"/>
        <v>OK</v>
      </c>
      <c r="E87" s="82"/>
      <c r="F87" s="607" t="str">
        <f>Lifetimes!CO1</f>
        <v>WoodStainDiyInDis</v>
      </c>
    </row>
    <row r="88" spans="1:6" ht="15" thickBot="1">
      <c r="A88" s="325" t="s">
        <v>461</v>
      </c>
      <c r="B88" s="97" t="s">
        <v>1409</v>
      </c>
      <c r="C88" s="97" t="s">
        <v>1287</v>
      </c>
      <c r="D88" s="101" t="str">
        <f t="shared" si="1"/>
        <v>OK</v>
      </c>
      <c r="E88" s="82"/>
      <c r="F88" s="607" t="str">
        <f>Lifetimes!CP1</f>
        <v>WoodStainDiyInIU</v>
      </c>
    </row>
    <row r="89" spans="1:6" ht="15" thickBot="1">
      <c r="A89" s="325" t="s">
        <v>520</v>
      </c>
      <c r="B89" s="97" t="s">
        <v>1409</v>
      </c>
      <c r="C89" s="97" t="s">
        <v>1288</v>
      </c>
      <c r="D89" s="101" t="str">
        <f t="shared" si="1"/>
        <v>OK</v>
      </c>
      <c r="E89" s="82"/>
      <c r="F89" s="607" t="str">
        <f>Lifetimes!CQ1</f>
        <v>WoodStainDiyOutDis</v>
      </c>
    </row>
    <row r="90" spans="1:6" ht="15" thickBot="1">
      <c r="A90" s="325" t="s">
        <v>517</v>
      </c>
      <c r="B90" s="97" t="s">
        <v>1406</v>
      </c>
      <c r="C90" s="97" t="s">
        <v>1634</v>
      </c>
      <c r="D90" s="101" t="str">
        <f t="shared" si="1"/>
        <v>OK</v>
      </c>
      <c r="E90" s="82"/>
      <c r="F90" s="607" t="str">
        <f>Lifetimes!CR1</f>
        <v>WoodStainDiyOutIU</v>
      </c>
    </row>
    <row r="91" spans="1:6" ht="15" thickBot="1">
      <c r="A91" s="325" t="s">
        <v>468</v>
      </c>
      <c r="B91" s="97" t="s">
        <v>1409</v>
      </c>
      <c r="C91" s="97" t="s">
        <v>1289</v>
      </c>
      <c r="D91" s="101" t="str">
        <f t="shared" si="1"/>
        <v>OK</v>
      </c>
      <c r="E91" s="82"/>
      <c r="F91" s="607" t="str">
        <f>Lifetimes!CS1</f>
        <v>WoodStainProfInDis</v>
      </c>
    </row>
    <row r="92" spans="1:6" ht="15" thickBot="1">
      <c r="A92" s="325" t="s">
        <v>519</v>
      </c>
      <c r="B92" s="97" t="s">
        <v>1409</v>
      </c>
      <c r="C92" s="97" t="s">
        <v>1290</v>
      </c>
      <c r="D92" s="101" t="str">
        <f t="shared" si="1"/>
        <v>OK</v>
      </c>
      <c r="E92" s="82"/>
      <c r="F92" s="607" t="str">
        <f>Lifetimes!CT1</f>
        <v>WoodStainProfInIU</v>
      </c>
    </row>
    <row r="93" spans="1:6" ht="15" thickBot="1">
      <c r="A93" s="74" t="s">
        <v>434</v>
      </c>
      <c r="B93" s="97" t="s">
        <v>1406</v>
      </c>
      <c r="C93" s="97" t="s">
        <v>1635</v>
      </c>
      <c r="D93" s="101" t="str">
        <f t="shared" si="1"/>
        <v>OK</v>
      </c>
      <c r="E93" s="82"/>
      <c r="F93" s="607" t="str">
        <f>Lifetimes!CU1</f>
        <v>WoodStainProfOutDis</v>
      </c>
    </row>
    <row r="94" spans="1:6" ht="15" thickBot="1">
      <c r="A94" s="325" t="s">
        <v>482</v>
      </c>
      <c r="B94" s="97" t="s">
        <v>1406</v>
      </c>
      <c r="C94" s="97" t="s">
        <v>1636</v>
      </c>
      <c r="D94" s="101" t="str">
        <f t="shared" si="1"/>
        <v>OK</v>
      </c>
      <c r="E94" s="82"/>
      <c r="F94" s="608" t="str">
        <f>Lifetimes!CV1</f>
        <v>WoodStainProfOutIU</v>
      </c>
    </row>
    <row r="95" spans="1:6" ht="15" thickBot="1">
      <c r="A95" s="325" t="s">
        <v>473</v>
      </c>
      <c r="B95" s="97" t="s">
        <v>1409</v>
      </c>
      <c r="C95" s="97" t="s">
        <v>1291</v>
      </c>
      <c r="D95" s="101" t="str">
        <f t="shared" si="1"/>
        <v>OK</v>
      </c>
      <c r="E95" s="82"/>
      <c r="F95">
        <f>Lifetimes!CW1</f>
        <v>0</v>
      </c>
    </row>
    <row r="96" spans="1:6" ht="15" thickBot="1">
      <c r="A96" s="325" t="s">
        <v>484</v>
      </c>
      <c r="B96" s="97" t="s">
        <v>1409</v>
      </c>
      <c r="C96" s="97" t="s">
        <v>1292</v>
      </c>
      <c r="D96" s="101" t="str">
        <f t="shared" si="1"/>
        <v>OK</v>
      </c>
      <c r="E96" s="82"/>
      <c r="F96">
        <f>Lifetimes!CX1</f>
        <v>0</v>
      </c>
    </row>
    <row r="97" spans="1:6" ht="15" thickBot="1">
      <c r="A97" s="325" t="s">
        <v>481</v>
      </c>
      <c r="B97" s="97" t="s">
        <v>1406</v>
      </c>
      <c r="C97" s="97" t="s">
        <v>1637</v>
      </c>
      <c r="D97" s="101" t="str">
        <f t="shared" si="1"/>
        <v>OK</v>
      </c>
      <c r="E97" s="82"/>
      <c r="F97">
        <f>Lifetimes!CY1</f>
        <v>0</v>
      </c>
    </row>
    <row r="98" spans="1:6" ht="15" thickBot="1">
      <c r="A98" s="325" t="s">
        <v>476</v>
      </c>
      <c r="B98" s="97" t="s">
        <v>1409</v>
      </c>
      <c r="C98" s="97" t="s">
        <v>1293</v>
      </c>
      <c r="D98" s="101" t="str">
        <f t="shared" si="1"/>
        <v>OK</v>
      </c>
      <c r="E98" s="82"/>
      <c r="F98">
        <f>Lifetimes!CZ1</f>
        <v>0</v>
      </c>
    </row>
    <row r="99" spans="1:6" ht="15" thickBot="1">
      <c r="A99" s="325" t="s">
        <v>483</v>
      </c>
      <c r="B99" s="97" t="s">
        <v>1409</v>
      </c>
      <c r="C99" s="97" t="s">
        <v>1294</v>
      </c>
      <c r="D99" s="101" t="str">
        <f t="shared" si="1"/>
        <v>OK</v>
      </c>
      <c r="E99" s="82"/>
      <c r="F99">
        <f>Lifetimes!DA1</f>
        <v>0</v>
      </c>
    </row>
    <row r="100" spans="1:6" ht="15" thickBot="1">
      <c r="A100" s="74" t="s">
        <v>1638</v>
      </c>
      <c r="B100" s="97" t="s">
        <v>1406</v>
      </c>
      <c r="C100" s="97" t="s">
        <v>1639</v>
      </c>
      <c r="D100" s="101" t="str">
        <f t="shared" si="1"/>
        <v>OK</v>
      </c>
      <c r="E100" s="82"/>
      <c r="F100">
        <f>Lifetimes!DB1</f>
        <v>0</v>
      </c>
    </row>
    <row r="101" spans="1:6" ht="15" thickBot="1">
      <c r="A101" s="74" t="s">
        <v>1640</v>
      </c>
      <c r="B101" s="97" t="s">
        <v>1406</v>
      </c>
      <c r="C101" s="97" t="s">
        <v>1641</v>
      </c>
      <c r="D101" s="101" t="str">
        <f t="shared" si="1"/>
        <v>OK</v>
      </c>
      <c r="E101" s="82"/>
      <c r="F101">
        <f>Lifetimes!DC1</f>
        <v>0</v>
      </c>
    </row>
    <row r="102" spans="1:6" ht="15" thickBot="1">
      <c r="A102" s="74" t="s">
        <v>1642</v>
      </c>
      <c r="B102" s="97" t="s">
        <v>1406</v>
      </c>
      <c r="C102" s="97" t="s">
        <v>1643</v>
      </c>
      <c r="D102" s="101" t="str">
        <f t="shared" si="1"/>
        <v>OK</v>
      </c>
      <c r="E102" s="82"/>
      <c r="F102">
        <f>Lifetimes!DD1</f>
        <v>0</v>
      </c>
    </row>
    <row r="103" spans="1:6" ht="15" thickBot="1">
      <c r="A103" s="74" t="s">
        <v>1644</v>
      </c>
      <c r="B103" s="97" t="s">
        <v>1406</v>
      </c>
      <c r="C103" s="97" t="s">
        <v>1645</v>
      </c>
      <c r="D103" s="101" t="str">
        <f t="shared" si="1"/>
        <v>OK</v>
      </c>
      <c r="E103" s="82"/>
      <c r="F103">
        <f>Lifetimes!DE1</f>
        <v>0</v>
      </c>
    </row>
    <row r="104" spans="1:6" ht="15" thickBot="1">
      <c r="A104" s="74" t="s">
        <v>1646</v>
      </c>
      <c r="B104" s="97" t="s">
        <v>1406</v>
      </c>
      <c r="C104" s="97" t="s">
        <v>1647</v>
      </c>
      <c r="D104" s="101" t="str">
        <f t="shared" si="1"/>
        <v>OK</v>
      </c>
      <c r="E104" s="82"/>
      <c r="F104">
        <f>Lifetimes!DF1</f>
        <v>0</v>
      </c>
    </row>
    <row r="105" spans="1:6" ht="15" thickBot="1">
      <c r="A105" s="74" t="s">
        <v>1648</v>
      </c>
      <c r="B105" s="97" t="s">
        <v>1406</v>
      </c>
      <c r="C105" s="97" t="s">
        <v>1649</v>
      </c>
      <c r="D105" s="101" t="str">
        <f t="shared" si="1"/>
        <v>OK</v>
      </c>
      <c r="E105" s="82"/>
      <c r="F105">
        <f>Lifetimes!DG1</f>
        <v>0</v>
      </c>
    </row>
    <row r="106" spans="1:6" ht="15" thickBot="1">
      <c r="A106" s="74" t="s">
        <v>1650</v>
      </c>
      <c r="B106" s="97" t="s">
        <v>1406</v>
      </c>
      <c r="C106" s="97" t="s">
        <v>1651</v>
      </c>
      <c r="D106" s="101" t="str">
        <f t="shared" si="1"/>
        <v>OK</v>
      </c>
      <c r="E106" s="82"/>
      <c r="F106">
        <f>Lifetimes!DH1</f>
        <v>0</v>
      </c>
    </row>
    <row r="107" spans="1:6" ht="15" thickBot="1">
      <c r="A107" s="74" t="s">
        <v>1652</v>
      </c>
      <c r="B107" s="97" t="s">
        <v>1406</v>
      </c>
      <c r="C107" s="97" t="s">
        <v>1653</v>
      </c>
      <c r="D107" s="101" t="str">
        <f t="shared" si="1"/>
        <v>OK</v>
      </c>
      <c r="E107" s="82"/>
      <c r="F107">
        <f>Lifetimes!DI1</f>
        <v>0</v>
      </c>
    </row>
    <row r="108" spans="1:6" ht="15" thickBot="1">
      <c r="A108" s="74" t="s">
        <v>1654</v>
      </c>
      <c r="B108" s="97" t="s">
        <v>1406</v>
      </c>
      <c r="C108" s="97" t="s">
        <v>1655</v>
      </c>
      <c r="D108" s="101" t="str">
        <f t="shared" si="1"/>
        <v>OK</v>
      </c>
      <c r="E108" s="82"/>
      <c r="F108">
        <f>Lifetimes!DJ1</f>
        <v>0</v>
      </c>
    </row>
    <row r="109" spans="1:6" ht="15" thickBot="1">
      <c r="A109" s="74" t="s">
        <v>1656</v>
      </c>
      <c r="B109" s="97" t="s">
        <v>1406</v>
      </c>
      <c r="C109" s="97" t="s">
        <v>1657</v>
      </c>
      <c r="D109" s="101" t="str">
        <f t="shared" si="1"/>
        <v>OK</v>
      </c>
      <c r="E109" s="82"/>
      <c r="F109">
        <f>Lifetimes!DK1</f>
        <v>0</v>
      </c>
    </row>
    <row r="110" spans="1:6" ht="15" thickBot="1">
      <c r="A110" s="74" t="s">
        <v>1658</v>
      </c>
      <c r="B110" s="97" t="s">
        <v>1406</v>
      </c>
      <c r="C110" s="97" t="s">
        <v>1659</v>
      </c>
      <c r="D110" s="101" t="str">
        <f t="shared" si="1"/>
        <v>OK</v>
      </c>
      <c r="E110" s="82"/>
      <c r="F110">
        <f>Lifetimes!DL1</f>
        <v>0</v>
      </c>
    </row>
    <row r="111" spans="1:6" ht="15" thickBot="1">
      <c r="A111" s="74" t="s">
        <v>118</v>
      </c>
      <c r="B111" s="97" t="s">
        <v>1406</v>
      </c>
      <c r="C111" s="97" t="s">
        <v>118</v>
      </c>
      <c r="D111" s="101" t="str">
        <f t="shared" si="1"/>
        <v>OK</v>
      </c>
      <c r="E111" s="82"/>
      <c r="F111">
        <f>Lifetimes!DM1</f>
        <v>0</v>
      </c>
    </row>
    <row r="112" spans="1:6" ht="15" thickBot="1">
      <c r="A112" s="325" t="s">
        <v>435</v>
      </c>
      <c r="B112" s="97" t="s">
        <v>1406</v>
      </c>
      <c r="C112" s="97" t="s">
        <v>1660</v>
      </c>
      <c r="D112" s="101" t="str">
        <f t="shared" si="1"/>
        <v>OK</v>
      </c>
      <c r="E112" s="82"/>
      <c r="F112">
        <f>Lifetimes!DN1</f>
        <v>0</v>
      </c>
    </row>
    <row r="113" spans="1:6" ht="15" thickBot="1">
      <c r="A113" s="325" t="s">
        <v>488</v>
      </c>
      <c r="B113" s="97" t="s">
        <v>1406</v>
      </c>
      <c r="C113" s="97" t="s">
        <v>1661</v>
      </c>
      <c r="D113" s="101" t="str">
        <f t="shared" si="1"/>
        <v>OK</v>
      </c>
      <c r="E113" s="82"/>
      <c r="F113">
        <f>Lifetimes!DO1</f>
        <v>0</v>
      </c>
    </row>
    <row r="114" spans="1:6" ht="15" thickBot="1">
      <c r="A114" s="325" t="s">
        <v>485</v>
      </c>
      <c r="B114" s="97" t="s">
        <v>1409</v>
      </c>
      <c r="C114" s="97" t="s">
        <v>1295</v>
      </c>
      <c r="D114" s="101" t="str">
        <f t="shared" si="1"/>
        <v>OK</v>
      </c>
      <c r="E114" s="82"/>
      <c r="F114">
        <f>Lifetimes!DP1</f>
        <v>0</v>
      </c>
    </row>
    <row r="115" spans="1:6" ht="15" thickBot="1">
      <c r="A115" s="325" t="s">
        <v>490</v>
      </c>
      <c r="B115" s="97" t="s">
        <v>1409</v>
      </c>
      <c r="C115" s="97" t="s">
        <v>1296</v>
      </c>
      <c r="D115" s="101" t="str">
        <f t="shared" si="1"/>
        <v>OK</v>
      </c>
      <c r="E115" s="82"/>
      <c r="F115">
        <f>Lifetimes!DQ1</f>
        <v>0</v>
      </c>
    </row>
    <row r="116" spans="1:6" ht="15" thickBot="1">
      <c r="A116" s="325" t="s">
        <v>487</v>
      </c>
      <c r="B116" s="97" t="s">
        <v>1406</v>
      </c>
      <c r="C116" s="97" t="s">
        <v>1662</v>
      </c>
      <c r="D116" s="101" t="str">
        <f t="shared" si="1"/>
        <v>OK</v>
      </c>
      <c r="E116" s="82"/>
      <c r="F116">
        <f>Lifetimes!DR1</f>
        <v>0</v>
      </c>
    </row>
    <row r="117" spans="1:6" ht="15" thickBot="1">
      <c r="A117" s="325" t="s">
        <v>486</v>
      </c>
      <c r="B117" s="97" t="s">
        <v>1409</v>
      </c>
      <c r="C117" s="97" t="s">
        <v>1297</v>
      </c>
      <c r="D117" s="101" t="str">
        <f t="shared" si="1"/>
        <v>OK</v>
      </c>
      <c r="E117" s="82"/>
      <c r="F117">
        <f>Lifetimes!DS1</f>
        <v>0</v>
      </c>
    </row>
    <row r="118" spans="1:6" ht="15" thickBot="1">
      <c r="A118" s="325" t="s">
        <v>489</v>
      </c>
      <c r="B118" s="97" t="s">
        <v>1409</v>
      </c>
      <c r="C118" s="97" t="s">
        <v>1298</v>
      </c>
      <c r="D118" s="101" t="str">
        <f t="shared" si="1"/>
        <v>OK</v>
      </c>
      <c r="E118" s="82"/>
      <c r="F118">
        <f>Lifetimes!DT1</f>
        <v>0</v>
      </c>
    </row>
    <row r="119" spans="1:6" ht="15" thickBot="1">
      <c r="A119" s="74" t="s">
        <v>259</v>
      </c>
      <c r="B119" s="97" t="s">
        <v>1406</v>
      </c>
      <c r="C119" s="97" t="s">
        <v>1663</v>
      </c>
      <c r="D119" s="101" t="str">
        <f t="shared" si="1"/>
        <v>OK</v>
      </c>
      <c r="E119" s="82"/>
      <c r="F119">
        <f>Lifetimes!DU1</f>
        <v>0</v>
      </c>
    </row>
    <row r="120" spans="1:6" ht="15" thickBot="1">
      <c r="A120" s="74" t="s">
        <v>261</v>
      </c>
      <c r="B120" s="97" t="s">
        <v>1406</v>
      </c>
      <c r="C120" s="97" t="s">
        <v>1664</v>
      </c>
      <c r="D120" s="101" t="str">
        <f t="shared" si="1"/>
        <v>OK</v>
      </c>
      <c r="E120" s="82"/>
      <c r="F120">
        <f>Lifetimes!DV1</f>
        <v>0</v>
      </c>
    </row>
    <row r="121" spans="1:6" ht="15" thickBot="1">
      <c r="A121" s="74" t="s">
        <v>262</v>
      </c>
      <c r="B121" s="97" t="s">
        <v>1406</v>
      </c>
      <c r="C121" s="97" t="s">
        <v>1665</v>
      </c>
      <c r="D121" s="101" t="str">
        <f t="shared" si="1"/>
        <v>OK</v>
      </c>
      <c r="E121" s="82"/>
      <c r="F121">
        <f>Lifetimes!DW1</f>
        <v>0</v>
      </c>
    </row>
    <row r="122" spans="1:6" ht="15" thickBot="1">
      <c r="A122" s="74" t="s">
        <v>160</v>
      </c>
      <c r="B122" s="97" t="s">
        <v>1406</v>
      </c>
      <c r="C122" s="97" t="s">
        <v>1666</v>
      </c>
      <c r="D122" s="101" t="str">
        <f t="shared" si="1"/>
        <v>OK</v>
      </c>
      <c r="E122" s="82"/>
      <c r="F122">
        <f>Lifetimes!DX1</f>
        <v>0</v>
      </c>
    </row>
    <row r="123" spans="1:6" ht="15" thickBot="1">
      <c r="A123" s="74" t="s">
        <v>439</v>
      </c>
      <c r="B123" s="97" t="s">
        <v>1406</v>
      </c>
      <c r="C123" s="97" t="s">
        <v>1667</v>
      </c>
      <c r="D123" s="101" t="str">
        <f t="shared" si="1"/>
        <v>OK</v>
      </c>
      <c r="E123" s="82"/>
      <c r="F123">
        <f>Lifetimes!DY1</f>
        <v>0</v>
      </c>
    </row>
    <row r="124" spans="1:6" ht="15" thickBot="1">
      <c r="A124" s="325" t="s">
        <v>512</v>
      </c>
      <c r="B124" s="97" t="s">
        <v>1406</v>
      </c>
      <c r="C124" s="97" t="s">
        <v>1668</v>
      </c>
      <c r="D124" s="101" t="str">
        <f t="shared" si="1"/>
        <v>OK</v>
      </c>
      <c r="E124" s="82"/>
      <c r="F124">
        <f>Lifetimes!DZ1</f>
        <v>0</v>
      </c>
    </row>
    <row r="125" spans="1:6" ht="15" thickBot="1">
      <c r="A125" s="325" t="s">
        <v>516</v>
      </c>
      <c r="B125" s="97" t="s">
        <v>1409</v>
      </c>
      <c r="C125" s="97" t="s">
        <v>1299</v>
      </c>
      <c r="D125" s="101" t="str">
        <f t="shared" si="1"/>
        <v>OK</v>
      </c>
      <c r="E125" s="82"/>
      <c r="F125">
        <f>Lifetimes!EA1</f>
        <v>0</v>
      </c>
    </row>
    <row r="126" spans="1:6" ht="15" thickBot="1">
      <c r="A126" s="325" t="s">
        <v>515</v>
      </c>
      <c r="B126" s="97" t="s">
        <v>1409</v>
      </c>
      <c r="C126" s="97" t="s">
        <v>1300</v>
      </c>
      <c r="D126" s="101" t="str">
        <f t="shared" si="1"/>
        <v>OK</v>
      </c>
      <c r="E126" s="82"/>
      <c r="F126">
        <f>Lifetimes!EB1</f>
        <v>0</v>
      </c>
    </row>
    <row r="127" spans="1:6" ht="15" thickBot="1">
      <c r="A127" s="325" t="s">
        <v>511</v>
      </c>
      <c r="B127" s="97" t="s">
        <v>1406</v>
      </c>
      <c r="C127" s="97" t="s">
        <v>1669</v>
      </c>
      <c r="D127" s="101" t="str">
        <f t="shared" si="1"/>
        <v>OK</v>
      </c>
      <c r="E127" s="82"/>
      <c r="F127">
        <f>Lifetimes!EC1</f>
        <v>0</v>
      </c>
    </row>
    <row r="128" spans="1:6" ht="15" thickBot="1">
      <c r="A128" s="325" t="s">
        <v>514</v>
      </c>
      <c r="B128" s="97" t="s">
        <v>1409</v>
      </c>
      <c r="C128" s="97" t="s">
        <v>1301</v>
      </c>
      <c r="D128" s="101" t="str">
        <f t="shared" si="1"/>
        <v>OK</v>
      </c>
      <c r="E128" s="82"/>
      <c r="F128">
        <f>Lifetimes!ED1</f>
        <v>0</v>
      </c>
    </row>
    <row r="129" spans="1:6" ht="15" thickBot="1">
      <c r="A129" s="325" t="s">
        <v>513</v>
      </c>
      <c r="B129" s="97" t="s">
        <v>1409</v>
      </c>
      <c r="C129" s="97" t="s">
        <v>1302</v>
      </c>
      <c r="D129" s="101" t="str">
        <f t="shared" si="1"/>
        <v>OK</v>
      </c>
      <c r="E129" s="82"/>
      <c r="F129">
        <f>Lifetimes!EE1</f>
        <v>0</v>
      </c>
    </row>
    <row r="130" spans="1:6" ht="15" thickBot="1">
      <c r="A130" s="74" t="s">
        <v>433</v>
      </c>
      <c r="B130" s="97" t="s">
        <v>1406</v>
      </c>
      <c r="C130" s="97" t="s">
        <v>1670</v>
      </c>
      <c r="D130" s="101" t="str">
        <f t="shared" si="1"/>
        <v>OK</v>
      </c>
      <c r="E130" s="82"/>
      <c r="F130">
        <f>Lifetimes!EF1</f>
        <v>0</v>
      </c>
    </row>
    <row r="131" spans="1:6" ht="15" thickBot="1">
      <c r="A131" s="325" t="s">
        <v>475</v>
      </c>
      <c r="B131" s="97" t="s">
        <v>1406</v>
      </c>
      <c r="C131" s="97" t="s">
        <v>1671</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 thickBot="1">
      <c r="A132" s="325" t="s">
        <v>480</v>
      </c>
      <c r="B132" s="97" t="s">
        <v>1409</v>
      </c>
      <c r="C132" s="97" t="s">
        <v>1303</v>
      </c>
      <c r="D132" s="101" t="str">
        <f t="shared" si="2"/>
        <v>OK</v>
      </c>
      <c r="E132" s="82"/>
      <c r="F132">
        <f>Lifetimes!EH1</f>
        <v>0</v>
      </c>
    </row>
    <row r="133" spans="1:6" ht="15" thickBot="1">
      <c r="A133" s="325" t="s">
        <v>479</v>
      </c>
      <c r="B133" s="97" t="s">
        <v>1409</v>
      </c>
      <c r="C133" s="97" t="s">
        <v>1304</v>
      </c>
      <c r="D133" s="101" t="str">
        <f t="shared" si="2"/>
        <v>OK</v>
      </c>
      <c r="E133" s="82"/>
      <c r="F133">
        <f>Lifetimes!EI1</f>
        <v>0</v>
      </c>
    </row>
    <row r="134" spans="1:6" ht="15" thickBot="1">
      <c r="A134" s="325" t="s">
        <v>474</v>
      </c>
      <c r="B134" s="97" t="s">
        <v>1406</v>
      </c>
      <c r="C134" s="97" t="s">
        <v>1672</v>
      </c>
      <c r="D134" s="101" t="str">
        <f t="shared" si="2"/>
        <v>OK</v>
      </c>
      <c r="E134" s="82"/>
      <c r="F134">
        <f>Lifetimes!EJ1</f>
        <v>0</v>
      </c>
    </row>
    <row r="135" spans="1:6" ht="15" thickBot="1">
      <c r="A135" s="325" t="s">
        <v>478</v>
      </c>
      <c r="B135" s="97" t="s">
        <v>1409</v>
      </c>
      <c r="C135" s="97" t="s">
        <v>1305</v>
      </c>
      <c r="D135" s="101" t="str">
        <f t="shared" si="2"/>
        <v>OK</v>
      </c>
      <c r="E135" s="82"/>
      <c r="F135">
        <f>Lifetimes!EK1</f>
        <v>0</v>
      </c>
    </row>
    <row r="136" spans="1:6" ht="15" thickBot="1">
      <c r="A136" s="325" t="s">
        <v>477</v>
      </c>
      <c r="B136" s="97" t="s">
        <v>1409</v>
      </c>
      <c r="C136" s="97" t="s">
        <v>1306</v>
      </c>
      <c r="D136" s="101" t="str">
        <f t="shared" si="2"/>
        <v>OK</v>
      </c>
      <c r="E136" s="82"/>
      <c r="F136">
        <f>Lifetimes!EL1</f>
        <v>0</v>
      </c>
    </row>
    <row r="137" spans="1:6" ht="15" thickBot="1">
      <c r="A137" s="74" t="s">
        <v>260</v>
      </c>
      <c r="B137" s="97" t="s">
        <v>1412</v>
      </c>
      <c r="C137" s="97" t="s">
        <v>1673</v>
      </c>
      <c r="D137" s="101" t="str">
        <f t="shared" si="2"/>
        <v>OK</v>
      </c>
      <c r="E137" s="83"/>
      <c r="F137">
        <f>Lifetimes!EM1</f>
        <v>0</v>
      </c>
    </row>
    <row r="138" spans="1:6" ht="15" thickBot="1">
      <c r="A138" s="74" t="s">
        <v>1674</v>
      </c>
      <c r="B138" s="97" t="s">
        <v>1406</v>
      </c>
      <c r="C138" s="97" t="s">
        <v>1675</v>
      </c>
      <c r="D138" s="101" t="str">
        <f t="shared" si="2"/>
        <v>OK</v>
      </c>
      <c r="F138">
        <f>Lifetimes!EN1</f>
        <v>0</v>
      </c>
    </row>
    <row r="139" spans="1:6" ht="15" thickBot="1">
      <c r="A139" s="325" t="s">
        <v>300</v>
      </c>
      <c r="B139" s="97" t="s">
        <v>1406</v>
      </c>
      <c r="C139" s="97" t="s">
        <v>1676</v>
      </c>
      <c r="D139" s="101" t="str">
        <f t="shared" si="2"/>
        <v>OK</v>
      </c>
      <c r="F139">
        <f>Lifetimes!EO1</f>
        <v>0</v>
      </c>
    </row>
    <row r="140" spans="1:6" ht="15" thickBot="1">
      <c r="A140" s="325" t="s">
        <v>393</v>
      </c>
      <c r="B140" s="97" t="s">
        <v>1406</v>
      </c>
      <c r="C140" s="97" t="s">
        <v>1677</v>
      </c>
      <c r="D140" s="101" t="str">
        <f t="shared" si="2"/>
        <v>OK</v>
      </c>
      <c r="F140">
        <f>Lifetimes!EP1</f>
        <v>0</v>
      </c>
    </row>
    <row r="141" spans="1:6" ht="15" thickBot="1">
      <c r="A141" s="325" t="s">
        <v>377</v>
      </c>
      <c r="B141" s="97" t="s">
        <v>1412</v>
      </c>
      <c r="C141" s="97" t="s">
        <v>1678</v>
      </c>
      <c r="D141" s="101" t="str">
        <f t="shared" si="2"/>
        <v>OK</v>
      </c>
      <c r="F141">
        <f>Lifetimes!EQ1</f>
        <v>0</v>
      </c>
    </row>
    <row r="142" spans="1:6" ht="15" thickBot="1">
      <c r="A142" s="325" t="s">
        <v>394</v>
      </c>
      <c r="B142" s="97" t="s">
        <v>1406</v>
      </c>
      <c r="C142" s="97" t="s">
        <v>1679</v>
      </c>
      <c r="D142" s="101" t="str">
        <f t="shared" si="2"/>
        <v>OK</v>
      </c>
      <c r="F142">
        <f>Lifetimes!ER1</f>
        <v>0</v>
      </c>
    </row>
    <row r="143" spans="1:6" ht="15" thickBot="1">
      <c r="A143" s="74" t="s">
        <v>240</v>
      </c>
      <c r="B143" s="97" t="s">
        <v>1406</v>
      </c>
      <c r="C143" s="97" t="s">
        <v>1680</v>
      </c>
      <c r="D143" s="101" t="str">
        <f t="shared" si="2"/>
        <v>OK</v>
      </c>
      <c r="F143">
        <f>Lifetimes!ES1</f>
        <v>0</v>
      </c>
    </row>
    <row r="144" spans="1:6" ht="15" thickBot="1">
      <c r="A144" s="325" t="s">
        <v>427</v>
      </c>
      <c r="B144" s="97" t="s">
        <v>1412</v>
      </c>
      <c r="C144" s="97" t="s">
        <v>1681</v>
      </c>
      <c r="D144" s="101" t="str">
        <f t="shared" si="2"/>
        <v>OK</v>
      </c>
      <c r="F144">
        <f>Lifetimes!ET1</f>
        <v>0</v>
      </c>
    </row>
    <row r="145" spans="1:6" ht="15" thickBot="1">
      <c r="A145" s="74" t="s">
        <v>161</v>
      </c>
      <c r="B145" s="97" t="s">
        <v>1406</v>
      </c>
      <c r="C145" s="97" t="s">
        <v>1682</v>
      </c>
      <c r="D145" s="101" t="str">
        <f t="shared" si="2"/>
        <v>OK</v>
      </c>
      <c r="F145">
        <f>Lifetimes!EU1</f>
        <v>0</v>
      </c>
    </row>
    <row r="146" spans="1:6" ht="15" thickBot="1">
      <c r="A146" s="74" t="s">
        <v>441</v>
      </c>
      <c r="B146" s="97" t="s">
        <v>1406</v>
      </c>
      <c r="C146" s="97" t="s">
        <v>1683</v>
      </c>
      <c r="D146" s="101" t="str">
        <f t="shared" si="2"/>
        <v>OK</v>
      </c>
      <c r="F146">
        <f>Lifetimes!EV1</f>
        <v>0</v>
      </c>
    </row>
    <row r="147" spans="1:6" ht="15" thickBot="1">
      <c r="A147" s="74" t="s">
        <v>444</v>
      </c>
      <c r="B147" s="97" t="s">
        <v>1409</v>
      </c>
      <c r="C147" s="97" t="s">
        <v>1307</v>
      </c>
      <c r="D147" s="101" t="str">
        <f t="shared" si="2"/>
        <v>OK</v>
      </c>
      <c r="F147">
        <f>Lifetimes!EW1</f>
        <v>0</v>
      </c>
    </row>
    <row r="148" spans="1:6" ht="15" thickBot="1">
      <c r="A148" s="362" t="s">
        <v>443</v>
      </c>
      <c r="B148" s="97" t="s">
        <v>1409</v>
      </c>
      <c r="C148" s="496" t="s">
        <v>1308</v>
      </c>
      <c r="D148" s="101" t="str">
        <f t="shared" si="2"/>
        <v>OK</v>
      </c>
      <c r="F148">
        <f>Lifetimes!EX1</f>
        <v>0</v>
      </c>
    </row>
    <row r="149" spans="1:6" ht="15" thickBot="1">
      <c r="A149" s="74" t="s">
        <v>442</v>
      </c>
      <c r="B149" s="97" t="s">
        <v>1406</v>
      </c>
      <c r="C149" s="97" t="s">
        <v>1684</v>
      </c>
      <c r="D149" s="101" t="str">
        <f t="shared" si="2"/>
        <v>OK</v>
      </c>
      <c r="F149">
        <f>Lifetimes!EY1</f>
        <v>0</v>
      </c>
    </row>
    <row r="150" spans="1:6" ht="15" thickBot="1">
      <c r="A150" s="74" t="s">
        <v>446</v>
      </c>
      <c r="B150" s="97" t="s">
        <v>1409</v>
      </c>
      <c r="C150" s="97" t="s">
        <v>1309</v>
      </c>
      <c r="D150" s="101" t="str">
        <f t="shared" si="2"/>
        <v>OK</v>
      </c>
      <c r="F150">
        <f>Lifetimes!EZ1</f>
        <v>0</v>
      </c>
    </row>
    <row r="151" spans="1:6" ht="15" thickBot="1">
      <c r="A151" s="362" t="s">
        <v>445</v>
      </c>
      <c r="B151" s="97" t="s">
        <v>1409</v>
      </c>
      <c r="C151" s="97" t="s">
        <v>1310</v>
      </c>
      <c r="D151" s="101" t="str">
        <f t="shared" si="2"/>
        <v>OK</v>
      </c>
      <c r="F151">
        <f>Lifetimes!FA1</f>
        <v>0</v>
      </c>
    </row>
    <row r="152" spans="1:6" ht="15" thickBot="1">
      <c r="A152" s="495" t="s">
        <v>354</v>
      </c>
      <c r="B152" s="97" t="s">
        <v>1406</v>
      </c>
      <c r="C152" s="97" t="s">
        <v>1685</v>
      </c>
      <c r="D152" s="101" t="str">
        <f t="shared" si="2"/>
        <v>OK</v>
      </c>
      <c r="F152">
        <f>Lifetimes!FB1</f>
        <v>0</v>
      </c>
    </row>
    <row r="153" spans="1:6" ht="15" thickBot="1">
      <c r="A153" s="74" t="s">
        <v>242</v>
      </c>
      <c r="B153" s="97" t="s">
        <v>1409</v>
      </c>
      <c r="C153" s="97" t="s">
        <v>1262</v>
      </c>
      <c r="D153" s="101" t="str">
        <f t="shared" si="2"/>
        <v>OK</v>
      </c>
      <c r="F153">
        <f>Lifetimes!FC1</f>
        <v>0</v>
      </c>
    </row>
    <row r="154" spans="1:6" ht="15" thickBot="1">
      <c r="A154" s="74" t="s">
        <v>355</v>
      </c>
      <c r="B154" s="97" t="s">
        <v>1409</v>
      </c>
      <c r="C154" s="97" t="s">
        <v>1263</v>
      </c>
      <c r="D154" s="101" t="str">
        <f t="shared" si="2"/>
        <v>OK</v>
      </c>
      <c r="F154">
        <f>Lifetimes!FD1</f>
        <v>0</v>
      </c>
    </row>
    <row r="155" spans="1:6" ht="15" thickBot="1">
      <c r="A155" s="495" t="s">
        <v>418</v>
      </c>
      <c r="B155" s="97" t="s">
        <v>1406</v>
      </c>
      <c r="C155" s="97" t="s">
        <v>1686</v>
      </c>
      <c r="D155" s="101" t="str">
        <f t="shared" si="2"/>
        <v>OK</v>
      </c>
      <c r="F155">
        <f>Lifetimes!FE1</f>
        <v>0</v>
      </c>
    </row>
    <row r="156" spans="1:6" ht="15" thickBot="1">
      <c r="A156" s="74" t="s">
        <v>349</v>
      </c>
      <c r="B156" s="97" t="s">
        <v>1409</v>
      </c>
      <c r="C156" s="97" t="s">
        <v>1273</v>
      </c>
      <c r="D156" s="101" t="str">
        <f t="shared" si="2"/>
        <v>OK</v>
      </c>
      <c r="F156">
        <f>Lifetimes!FF1</f>
        <v>0</v>
      </c>
    </row>
    <row r="157" spans="1:6" ht="15" thickBot="1">
      <c r="A157" s="74" t="s">
        <v>359</v>
      </c>
      <c r="B157" s="97" t="s">
        <v>1409</v>
      </c>
      <c r="C157" s="97" t="s">
        <v>1274</v>
      </c>
      <c r="D157" s="101" t="str">
        <f t="shared" si="2"/>
        <v>OK</v>
      </c>
      <c r="F157">
        <f>Lifetimes!FG1</f>
        <v>0</v>
      </c>
    </row>
    <row r="158" spans="1:6" ht="15" thickBot="1">
      <c r="A158" s="74" t="s">
        <v>256</v>
      </c>
      <c r="B158" s="97" t="s">
        <v>1406</v>
      </c>
      <c r="C158" s="97" t="s">
        <v>1687</v>
      </c>
      <c r="D158" s="101" t="str">
        <f t="shared" si="2"/>
        <v>OK</v>
      </c>
      <c r="F158">
        <f>Lifetimes!FH1</f>
        <v>0</v>
      </c>
    </row>
    <row r="159" spans="1:6" ht="15" thickBot="1">
      <c r="A159" s="325" t="s">
        <v>395</v>
      </c>
      <c r="B159" s="97" t="s">
        <v>1406</v>
      </c>
      <c r="C159" s="97" t="s">
        <v>1688</v>
      </c>
      <c r="D159" s="101" t="str">
        <f t="shared" si="2"/>
        <v>OK</v>
      </c>
      <c r="F159">
        <f>Lifetimes!FI1</f>
        <v>0</v>
      </c>
    </row>
    <row r="160" spans="1:6" ht="15" thickBot="1">
      <c r="A160" s="325" t="s">
        <v>397</v>
      </c>
      <c r="B160" s="97" t="s">
        <v>1406</v>
      </c>
      <c r="C160" s="97" t="s">
        <v>1689</v>
      </c>
      <c r="D160" s="101" t="str">
        <f t="shared" si="2"/>
        <v>OK</v>
      </c>
      <c r="F160">
        <f>Lifetimes!FJ1</f>
        <v>0</v>
      </c>
    </row>
    <row r="161" spans="1:6" ht="15" thickBot="1">
      <c r="A161" s="74" t="s">
        <v>438</v>
      </c>
      <c r="B161" s="97" t="s">
        <v>1406</v>
      </c>
      <c r="C161" s="97" t="s">
        <v>1690</v>
      </c>
      <c r="D161" s="101" t="str">
        <f t="shared" si="2"/>
        <v>OK</v>
      </c>
      <c r="F161">
        <f>Lifetimes!FK1</f>
        <v>0</v>
      </c>
    </row>
    <row r="162" spans="1:6" ht="15" thickBot="1">
      <c r="A162" s="325" t="s">
        <v>504</v>
      </c>
      <c r="B162" s="97" t="s">
        <v>1406</v>
      </c>
      <c r="C162" s="97" t="s">
        <v>1691</v>
      </c>
      <c r="D162" s="101" t="str">
        <f t="shared" si="2"/>
        <v>OK</v>
      </c>
      <c r="F162">
        <f>Lifetimes!FL1</f>
        <v>0</v>
      </c>
    </row>
    <row r="163" spans="1:6" ht="15" thickBot="1">
      <c r="A163" s="74" t="s">
        <v>508</v>
      </c>
      <c r="B163" s="97" t="s">
        <v>1406</v>
      </c>
      <c r="C163" s="97" t="s">
        <v>1692</v>
      </c>
      <c r="D163" s="101" t="str">
        <f t="shared" si="2"/>
        <v>OK</v>
      </c>
      <c r="F163">
        <f>Lifetimes!FM1</f>
        <v>0</v>
      </c>
    </row>
    <row r="164" spans="1:6" ht="15" thickBot="1">
      <c r="A164" s="325" t="s">
        <v>505</v>
      </c>
      <c r="B164" s="97" t="s">
        <v>1409</v>
      </c>
      <c r="C164" s="97" t="s">
        <v>1311</v>
      </c>
      <c r="D164" s="101" t="str">
        <f t="shared" si="2"/>
        <v>OK</v>
      </c>
      <c r="F164">
        <f>Lifetimes!FN1</f>
        <v>0</v>
      </c>
    </row>
    <row r="165" spans="1:6" ht="15" thickBot="1">
      <c r="A165" s="325" t="s">
        <v>510</v>
      </c>
      <c r="B165" s="97" t="s">
        <v>1409</v>
      </c>
      <c r="C165" s="97" t="s">
        <v>1312</v>
      </c>
      <c r="D165" s="101" t="str">
        <f t="shared" si="2"/>
        <v>OK</v>
      </c>
      <c r="F165">
        <f>Lifetimes!FO1</f>
        <v>0</v>
      </c>
    </row>
    <row r="166" spans="1:6" ht="15" thickBot="1">
      <c r="A166" s="74" t="s">
        <v>509</v>
      </c>
      <c r="B166" s="97" t="s">
        <v>1406</v>
      </c>
      <c r="C166" s="97" t="s">
        <v>1693</v>
      </c>
      <c r="D166" s="101" t="str">
        <f t="shared" si="2"/>
        <v>OK</v>
      </c>
      <c r="F166">
        <f>Lifetimes!FP1</f>
        <v>0</v>
      </c>
    </row>
    <row r="167" spans="1:6" ht="15" thickBot="1">
      <c r="A167" s="325" t="s">
        <v>503</v>
      </c>
      <c r="B167" s="97" t="s">
        <v>1406</v>
      </c>
      <c r="C167" s="97" t="s">
        <v>1694</v>
      </c>
      <c r="D167" s="101" t="str">
        <f t="shared" si="2"/>
        <v>OK</v>
      </c>
      <c r="F167">
        <f>Lifetimes!FQ1</f>
        <v>0</v>
      </c>
    </row>
    <row r="168" spans="1:6" ht="15" thickBot="1">
      <c r="A168" s="325" t="s">
        <v>507</v>
      </c>
      <c r="B168" s="97" t="s">
        <v>1409</v>
      </c>
      <c r="C168" s="97" t="s">
        <v>1313</v>
      </c>
      <c r="D168" s="101" t="str">
        <f t="shared" si="2"/>
        <v>OK</v>
      </c>
      <c r="F168">
        <f>Lifetimes!FR1</f>
        <v>0</v>
      </c>
    </row>
    <row r="169" spans="1:6" ht="15" thickBot="1">
      <c r="A169" s="325" t="s">
        <v>506</v>
      </c>
      <c r="B169" s="97" t="s">
        <v>1409</v>
      </c>
      <c r="C169" s="97" t="s">
        <v>1314</v>
      </c>
      <c r="D169" s="101" t="str">
        <f t="shared" si="2"/>
        <v>OK</v>
      </c>
      <c r="F169">
        <f>Lifetimes!FS1</f>
        <v>0</v>
      </c>
    </row>
    <row r="170" spans="1:6" ht="15" thickBot="1">
      <c r="A170" s="74" t="s">
        <v>432</v>
      </c>
      <c r="B170" s="97" t="s">
        <v>1406</v>
      </c>
      <c r="C170" s="97" t="s">
        <v>1695</v>
      </c>
      <c r="D170" s="101" t="str">
        <f t="shared" si="2"/>
        <v>OK</v>
      </c>
      <c r="F170">
        <f>Lifetimes!FT1</f>
        <v>0</v>
      </c>
    </row>
    <row r="171" spans="1:6" ht="15" thickBot="1">
      <c r="A171" s="325" t="s">
        <v>467</v>
      </c>
      <c r="B171" s="97" t="s">
        <v>1406</v>
      </c>
      <c r="C171" s="97" t="s">
        <v>1696</v>
      </c>
      <c r="D171" s="101" t="str">
        <f t="shared" si="2"/>
        <v>OK</v>
      </c>
      <c r="F171">
        <f>Lifetimes!FU1</f>
        <v>0</v>
      </c>
    </row>
    <row r="172" spans="1:6" ht="15" thickBot="1">
      <c r="A172" s="325" t="s">
        <v>472</v>
      </c>
      <c r="B172" s="97" t="s">
        <v>1409</v>
      </c>
      <c r="C172" s="97" t="s">
        <v>1315</v>
      </c>
      <c r="D172" s="101" t="str">
        <f t="shared" si="2"/>
        <v>OK</v>
      </c>
      <c r="F172">
        <f>Lifetimes!FV1</f>
        <v>0</v>
      </c>
    </row>
    <row r="173" spans="1:6" ht="15" thickBot="1">
      <c r="A173" s="325" t="s">
        <v>471</v>
      </c>
      <c r="B173" s="97" t="s">
        <v>1409</v>
      </c>
      <c r="C173" s="97" t="s">
        <v>1316</v>
      </c>
      <c r="D173" s="101" t="str">
        <f t="shared" si="2"/>
        <v>OK</v>
      </c>
      <c r="F173">
        <f>Lifetimes!FW1</f>
        <v>0</v>
      </c>
    </row>
    <row r="174" spans="1:6" ht="15" thickBot="1">
      <c r="A174" s="325" t="s">
        <v>466</v>
      </c>
      <c r="B174" s="97" t="s">
        <v>1406</v>
      </c>
      <c r="C174" s="97" t="s">
        <v>1697</v>
      </c>
      <c r="D174" s="101" t="str">
        <f t="shared" si="2"/>
        <v>OK</v>
      </c>
      <c r="F174">
        <f>Lifetimes!FX1</f>
        <v>0</v>
      </c>
    </row>
    <row r="175" spans="1:6" ht="15" thickBot="1">
      <c r="A175" s="325" t="s">
        <v>470</v>
      </c>
      <c r="B175" s="97" t="s">
        <v>1409</v>
      </c>
      <c r="C175" s="97" t="s">
        <v>1317</v>
      </c>
      <c r="D175" s="101" t="str">
        <f t="shared" si="2"/>
        <v>OK</v>
      </c>
      <c r="F175">
        <f>Lifetimes!FY1</f>
        <v>0</v>
      </c>
    </row>
    <row r="176" spans="1:6" ht="15" thickBot="1">
      <c r="A176" s="325" t="s">
        <v>469</v>
      </c>
      <c r="B176" s="97" t="s">
        <v>1409</v>
      </c>
      <c r="C176" s="97" t="s">
        <v>1318</v>
      </c>
      <c r="D176" s="101" t="str">
        <f t="shared" si="2"/>
        <v>OK</v>
      </c>
      <c r="F176">
        <f>Lifetimes!FZ1</f>
        <v>0</v>
      </c>
    </row>
    <row r="177" spans="1:6" ht="15" thickBot="1">
      <c r="A177" s="74" t="s">
        <v>1698</v>
      </c>
      <c r="B177" s="97" t="s">
        <v>1406</v>
      </c>
      <c r="C177" s="97" t="s">
        <v>1699</v>
      </c>
      <c r="D177" s="101" t="str">
        <f t="shared" si="2"/>
        <v>OK</v>
      </c>
      <c r="F177">
        <f>Lifetimes!GA1</f>
        <v>0</v>
      </c>
    </row>
    <row r="178" spans="1:6" ht="15" thickBot="1">
      <c r="A178" s="74" t="s">
        <v>1700</v>
      </c>
      <c r="B178" s="97" t="s">
        <v>1406</v>
      </c>
      <c r="C178" s="97" t="s">
        <v>1701</v>
      </c>
      <c r="D178" s="101" t="str">
        <f t="shared" si="2"/>
        <v>OK</v>
      </c>
      <c r="F178">
        <f>Lifetimes!GB1</f>
        <v>0</v>
      </c>
    </row>
    <row r="179" spans="1:6" ht="15" thickBot="1">
      <c r="A179" s="74" t="s">
        <v>1702</v>
      </c>
      <c r="B179" s="97" t="s">
        <v>1406</v>
      </c>
      <c r="C179" s="97" t="s">
        <v>1703</v>
      </c>
      <c r="D179" s="101" t="str">
        <f t="shared" si="2"/>
        <v>OK</v>
      </c>
      <c r="F179">
        <f>Lifetimes!GC1</f>
        <v>0</v>
      </c>
    </row>
    <row r="180" spans="1:6" ht="15" thickBot="1">
      <c r="A180" s="74" t="s">
        <v>1704</v>
      </c>
      <c r="B180" s="97" t="s">
        <v>1406</v>
      </c>
      <c r="C180" s="97" t="s">
        <v>1705</v>
      </c>
      <c r="D180" s="101" t="str">
        <f t="shared" si="2"/>
        <v>OK</v>
      </c>
      <c r="F180">
        <f>Lifetimes!GD1</f>
        <v>0</v>
      </c>
    </row>
    <row r="181" spans="1:6" ht="15" thickBot="1">
      <c r="A181" s="74" t="s">
        <v>437</v>
      </c>
      <c r="B181" s="97" t="s">
        <v>1406</v>
      </c>
      <c r="C181" s="97" t="s">
        <v>1706</v>
      </c>
      <c r="D181" s="101" t="str">
        <f t="shared" si="2"/>
        <v>OK</v>
      </c>
      <c r="F181">
        <f>Lifetimes!GE1</f>
        <v>0</v>
      </c>
    </row>
    <row r="182" spans="1:6" ht="15" thickBot="1">
      <c r="A182" s="325" t="s">
        <v>498</v>
      </c>
      <c r="B182" s="97" t="s">
        <v>1406</v>
      </c>
      <c r="C182" s="97" t="s">
        <v>1707</v>
      </c>
      <c r="D182" s="101" t="str">
        <f t="shared" si="2"/>
        <v>OK</v>
      </c>
      <c r="F182">
        <f>Lifetimes!GF1</f>
        <v>0</v>
      </c>
    </row>
    <row r="183" spans="1:6" ht="15" thickBot="1">
      <c r="A183" s="325" t="s">
        <v>502</v>
      </c>
      <c r="B183" s="97" t="s">
        <v>1409</v>
      </c>
      <c r="C183" s="97" t="s">
        <v>1319</v>
      </c>
      <c r="D183" s="101" t="str">
        <f t="shared" si="2"/>
        <v>OK</v>
      </c>
      <c r="F183">
        <f>Lifetimes!GG1</f>
        <v>0</v>
      </c>
    </row>
    <row r="184" spans="1:6" ht="15" thickBot="1">
      <c r="A184" s="325" t="s">
        <v>501</v>
      </c>
      <c r="B184" s="97" t="s">
        <v>1409</v>
      </c>
      <c r="C184" s="97" t="s">
        <v>1320</v>
      </c>
      <c r="D184" s="101" t="str">
        <f t="shared" si="2"/>
        <v>OK</v>
      </c>
      <c r="F184">
        <f>Lifetimes!GH1</f>
        <v>0</v>
      </c>
    </row>
    <row r="185" spans="1:6" ht="15" thickBot="1">
      <c r="A185" s="325" t="s">
        <v>497</v>
      </c>
      <c r="B185" s="97" t="s">
        <v>1406</v>
      </c>
      <c r="C185" s="97" t="s">
        <v>1708</v>
      </c>
      <c r="D185" s="101" t="str">
        <f t="shared" si="2"/>
        <v>OK</v>
      </c>
      <c r="F185">
        <f>Lifetimes!GI1</f>
        <v>0</v>
      </c>
    </row>
    <row r="186" spans="1:6" ht="15" thickBot="1">
      <c r="A186" s="325" t="s">
        <v>500</v>
      </c>
      <c r="B186" s="97" t="s">
        <v>1409</v>
      </c>
      <c r="C186" s="97" t="s">
        <v>1321</v>
      </c>
      <c r="D186" s="101" t="str">
        <f t="shared" si="2"/>
        <v>OK</v>
      </c>
      <c r="F186">
        <f>Lifetimes!GJ1</f>
        <v>0</v>
      </c>
    </row>
    <row r="187" spans="1:6" ht="15" thickBot="1">
      <c r="A187" s="325" t="s">
        <v>499</v>
      </c>
      <c r="B187" s="97" t="s">
        <v>1409</v>
      </c>
      <c r="C187" s="97" t="s">
        <v>1322</v>
      </c>
      <c r="D187" s="101" t="str">
        <f t="shared" si="2"/>
        <v>OK</v>
      </c>
      <c r="F187">
        <f>Lifetimes!GK1</f>
        <v>0</v>
      </c>
    </row>
    <row r="188" spans="1:6" ht="15" thickBot="1">
      <c r="A188" s="74" t="s">
        <v>431</v>
      </c>
      <c r="B188" s="97" t="s">
        <v>1406</v>
      </c>
      <c r="C188" s="97" t="s">
        <v>1709</v>
      </c>
      <c r="D188" s="101" t="str">
        <f t="shared" si="2"/>
        <v>OK</v>
      </c>
      <c r="F188">
        <f>Lifetimes!GL1</f>
        <v>0</v>
      </c>
    </row>
    <row r="189" spans="1:6" ht="15" thickBot="1">
      <c r="A189" s="325" t="s">
        <v>460</v>
      </c>
      <c r="B189" s="97" t="s">
        <v>1406</v>
      </c>
      <c r="C189" s="97" t="s">
        <v>1710</v>
      </c>
      <c r="D189" s="101" t="str">
        <f t="shared" si="2"/>
        <v>OK</v>
      </c>
      <c r="F189">
        <f>Lifetimes!GM1</f>
        <v>0</v>
      </c>
    </row>
    <row r="190" spans="1:6" ht="15" thickBot="1">
      <c r="A190" s="325" t="s">
        <v>465</v>
      </c>
      <c r="B190" s="97" t="s">
        <v>1409</v>
      </c>
      <c r="C190" s="97" t="s">
        <v>1323</v>
      </c>
      <c r="D190" s="101" t="str">
        <f t="shared" si="2"/>
        <v>OK</v>
      </c>
      <c r="F190">
        <f>Lifetimes!GN1</f>
        <v>0</v>
      </c>
    </row>
    <row r="191" spans="1:6" ht="15" thickBot="1">
      <c r="A191" s="325" t="s">
        <v>464</v>
      </c>
      <c r="B191" s="97" t="s">
        <v>1409</v>
      </c>
      <c r="C191" s="97" t="s">
        <v>1324</v>
      </c>
      <c r="D191" s="101" t="str">
        <f t="shared" si="2"/>
        <v>OK</v>
      </c>
      <c r="F191">
        <f>Lifetimes!GO1</f>
        <v>0</v>
      </c>
    </row>
    <row r="192" spans="1:6" ht="15" thickBot="1">
      <c r="A192" s="325" t="s">
        <v>459</v>
      </c>
      <c r="B192" s="97" t="s">
        <v>1406</v>
      </c>
      <c r="C192" s="97" t="s">
        <v>1711</v>
      </c>
      <c r="D192" s="101" t="str">
        <f t="shared" si="2"/>
        <v>OK</v>
      </c>
      <c r="F192">
        <f>Lifetimes!GP1</f>
        <v>0</v>
      </c>
    </row>
    <row r="193" spans="1:6" ht="15" thickBot="1">
      <c r="A193" s="325" t="s">
        <v>463</v>
      </c>
      <c r="B193" s="97" t="s">
        <v>1409</v>
      </c>
      <c r="C193" s="97" t="s">
        <v>1325</v>
      </c>
      <c r="D193" s="101" t="str">
        <f t="shared" si="2"/>
        <v>OK</v>
      </c>
      <c r="F193">
        <f>Lifetimes!GQ1</f>
        <v>0</v>
      </c>
    </row>
    <row r="194" spans="1:6" ht="15" thickBot="1">
      <c r="A194" s="325" t="s">
        <v>462</v>
      </c>
      <c r="B194" s="97" t="s">
        <v>1409</v>
      </c>
      <c r="C194" s="68" t="s">
        <v>1326</v>
      </c>
      <c r="D194" s="101" t="str">
        <f t="shared" si="2"/>
        <v>OK</v>
      </c>
      <c r="F194">
        <f>Lifetimes!GR1</f>
        <v>0</v>
      </c>
    </row>
    <row r="195" spans="1:6" ht="15" thickBot="1">
      <c r="A195" s="904" t="s">
        <v>143</v>
      </c>
      <c r="B195" s="610" t="s">
        <v>1406</v>
      </c>
      <c r="C195" s="905" t="s">
        <v>1712</v>
      </c>
      <c r="D195" s="101" t="str">
        <f t="shared" ref="D195:D244" si="3">IF(B195=IF(COUNTIF($F$3:$F$150,C195),"Stock","Flow/Sink"),"OK",IF(B195="Stock","Compartment missing in Lifetimes, available as pair?",IF(IF(COUNTIF($F$3:$F$150,C195),"Stock","Flow/Sink")="Stock","Change Type of compartment to Stock","OK")))</f>
        <v>OK</v>
      </c>
      <c r="F195">
        <f>Lifetimes!GS1</f>
        <v>0</v>
      </c>
    </row>
    <row r="196" spans="1:6" ht="15" thickBot="1">
      <c r="A196" s="906" t="s">
        <v>413</v>
      </c>
      <c r="B196" s="224" t="s">
        <v>1406</v>
      </c>
      <c r="C196" s="224" t="s">
        <v>1713</v>
      </c>
      <c r="D196" s="903" t="str">
        <f t="shared" si="3"/>
        <v>OK</v>
      </c>
      <c r="F196">
        <f>Lifetimes!GT1</f>
        <v>0</v>
      </c>
    </row>
    <row r="197" spans="1:6" ht="15" thickBot="1">
      <c r="A197" s="907" t="s">
        <v>2039</v>
      </c>
      <c r="B197" s="224" t="s">
        <v>1406</v>
      </c>
      <c r="C197" s="224" t="s">
        <v>2115</v>
      </c>
      <c r="D197" s="903" t="str">
        <f t="shared" si="3"/>
        <v>OK</v>
      </c>
      <c r="E197"/>
      <c r="F197"/>
    </row>
    <row r="198" spans="1:6" ht="15" thickBot="1">
      <c r="A198" s="907" t="s">
        <v>2042</v>
      </c>
      <c r="B198" s="224" t="s">
        <v>1406</v>
      </c>
      <c r="C198" s="224" t="s">
        <v>2116</v>
      </c>
      <c r="D198" s="903" t="str">
        <f t="shared" si="3"/>
        <v>OK</v>
      </c>
      <c r="E198"/>
      <c r="F198"/>
    </row>
    <row r="199" spans="1:6" ht="15" thickBot="1">
      <c r="A199" s="907" t="s">
        <v>2050</v>
      </c>
      <c r="B199" s="224" t="s">
        <v>1409</v>
      </c>
      <c r="C199" s="224" t="s">
        <v>2121</v>
      </c>
      <c r="D199" s="903" t="str">
        <f t="shared" si="3"/>
        <v>Compartment missing in Lifetimes, available as pair?</v>
      </c>
      <c r="E199"/>
      <c r="F199"/>
    </row>
    <row r="200" spans="1:6" ht="15" thickBot="1">
      <c r="A200" s="907" t="s">
        <v>2052</v>
      </c>
      <c r="B200" s="224" t="s">
        <v>1409</v>
      </c>
      <c r="C200" s="224" t="s">
        <v>2052</v>
      </c>
      <c r="D200" s="903" t="str">
        <f t="shared" si="3"/>
        <v>Compartment missing in Lifetimes, available as pair?</v>
      </c>
      <c r="E200"/>
      <c r="F200"/>
    </row>
    <row r="201" spans="1:6" ht="15" thickBot="1">
      <c r="A201" s="907" t="s">
        <v>2053</v>
      </c>
      <c r="B201" s="224" t="s">
        <v>1409</v>
      </c>
      <c r="C201" s="224" t="s">
        <v>2130</v>
      </c>
      <c r="D201" s="903" t="str">
        <f t="shared" si="3"/>
        <v>Compartment missing in Lifetimes, available as pair?</v>
      </c>
      <c r="E201"/>
      <c r="F201"/>
    </row>
    <row r="202" spans="1:6" ht="15" thickBot="1">
      <c r="A202" s="907" t="s">
        <v>2178</v>
      </c>
      <c r="B202" s="224" t="s">
        <v>1409</v>
      </c>
      <c r="C202" s="224" t="s">
        <v>2126</v>
      </c>
      <c r="D202" s="903" t="str">
        <f t="shared" si="3"/>
        <v>Compartment missing in Lifetimes, available as pair?</v>
      </c>
      <c r="E202"/>
      <c r="F202"/>
    </row>
    <row r="203" spans="1:6" ht="15" thickBot="1">
      <c r="A203" s="907" t="s">
        <v>2054</v>
      </c>
      <c r="B203" s="224" t="s">
        <v>1409</v>
      </c>
      <c r="C203" s="224" t="s">
        <v>2125</v>
      </c>
      <c r="D203" s="903" t="str">
        <f t="shared" si="3"/>
        <v>Compartment missing in Lifetimes, available as pair?</v>
      </c>
      <c r="E203"/>
      <c r="F203"/>
    </row>
    <row r="204" spans="1:6" ht="15" thickBot="1">
      <c r="A204" s="907" t="s">
        <v>2177</v>
      </c>
      <c r="B204" s="224" t="s">
        <v>1409</v>
      </c>
      <c r="C204" s="224" t="s">
        <v>2133</v>
      </c>
      <c r="D204" s="903" t="str">
        <f t="shared" si="3"/>
        <v>Compartment missing in Lifetimes, available as pair?</v>
      </c>
      <c r="E204"/>
      <c r="F204"/>
    </row>
    <row r="205" spans="1:6" ht="15" thickBot="1">
      <c r="A205" s="907" t="s">
        <v>2179</v>
      </c>
      <c r="B205" s="224" t="s">
        <v>1409</v>
      </c>
      <c r="C205" s="224" t="s">
        <v>2134</v>
      </c>
      <c r="D205" s="903" t="str">
        <f t="shared" si="3"/>
        <v>Compartment missing in Lifetimes, available as pair?</v>
      </c>
      <c r="E205"/>
      <c r="F205"/>
    </row>
    <row r="206" spans="1:6" ht="15" thickBot="1">
      <c r="A206" s="907" t="s">
        <v>2180</v>
      </c>
      <c r="B206" s="224" t="s">
        <v>1409</v>
      </c>
      <c r="C206" s="224" t="s">
        <v>2127</v>
      </c>
      <c r="D206" s="903" t="str">
        <f t="shared" si="3"/>
        <v>Compartment missing in Lifetimes, available as pair?</v>
      </c>
      <c r="E206"/>
      <c r="F206"/>
    </row>
    <row r="207" spans="1:6" ht="15" thickBot="1">
      <c r="A207" s="907" t="s">
        <v>2181</v>
      </c>
      <c r="B207" s="224" t="s">
        <v>1409</v>
      </c>
      <c r="C207" s="224" t="s">
        <v>2128</v>
      </c>
      <c r="D207" s="903" t="str">
        <f t="shared" si="3"/>
        <v>Compartment missing in Lifetimes, available as pair?</v>
      </c>
      <c r="E207"/>
      <c r="F207"/>
    </row>
    <row r="208" spans="1:6" ht="15" thickBot="1">
      <c r="A208" s="907" t="s">
        <v>2182</v>
      </c>
      <c r="B208" s="224" t="s">
        <v>1409</v>
      </c>
      <c r="C208" s="224" t="s">
        <v>2129</v>
      </c>
      <c r="D208" s="903" t="str">
        <f t="shared" si="3"/>
        <v>Compartment missing in Lifetimes, available as pair?</v>
      </c>
      <c r="E208"/>
      <c r="F208"/>
    </row>
    <row r="209" spans="1:4" ht="15" thickBot="1">
      <c r="A209" s="907" t="s">
        <v>2055</v>
      </c>
      <c r="B209" s="224" t="s">
        <v>1409</v>
      </c>
      <c r="C209" s="224" t="s">
        <v>2055</v>
      </c>
      <c r="D209" s="903" t="str">
        <f t="shared" si="3"/>
        <v>Compartment missing in Lifetimes, available as pair?</v>
      </c>
    </row>
    <row r="210" spans="1:4" ht="15" thickBot="1">
      <c r="A210" s="907" t="s">
        <v>2056</v>
      </c>
      <c r="B210" s="224" t="s">
        <v>1409</v>
      </c>
      <c r="C210" s="224" t="s">
        <v>2120</v>
      </c>
      <c r="D210" s="903" t="str">
        <f t="shared" si="3"/>
        <v>Compartment missing in Lifetimes, available as pair?</v>
      </c>
    </row>
    <row r="211" spans="1:4" ht="15" thickBot="1">
      <c r="A211" s="907" t="s">
        <v>2057</v>
      </c>
      <c r="B211" s="224" t="s">
        <v>1409</v>
      </c>
      <c r="C211" s="224" t="s">
        <v>2057</v>
      </c>
      <c r="D211" s="903" t="str">
        <f t="shared" si="3"/>
        <v>Compartment missing in Lifetimes, available as pair?</v>
      </c>
    </row>
    <row r="212" spans="1:4" ht="15" thickBot="1">
      <c r="A212" s="907" t="s">
        <v>2070</v>
      </c>
      <c r="B212" s="224" t="s">
        <v>1406</v>
      </c>
      <c r="C212" s="224" t="s">
        <v>2122</v>
      </c>
      <c r="D212" s="903" t="str">
        <f t="shared" si="3"/>
        <v>OK</v>
      </c>
    </row>
    <row r="213" spans="1:4" ht="15" thickBot="1">
      <c r="A213" s="907" t="s">
        <v>2073</v>
      </c>
      <c r="B213" s="224" t="s">
        <v>1406</v>
      </c>
      <c r="C213" s="224" t="s">
        <v>2135</v>
      </c>
      <c r="D213" s="903" t="str">
        <f t="shared" si="3"/>
        <v>OK</v>
      </c>
    </row>
    <row r="214" spans="1:4" ht="15" thickBot="1">
      <c r="A214" s="907" t="s">
        <v>2074</v>
      </c>
      <c r="B214" s="224" t="s">
        <v>1406</v>
      </c>
      <c r="C214" s="224" t="s">
        <v>2139</v>
      </c>
      <c r="D214" s="903" t="str">
        <f t="shared" si="3"/>
        <v>OK</v>
      </c>
    </row>
    <row r="215" spans="1:4" ht="15" thickBot="1">
      <c r="A215" s="907" t="s">
        <v>2075</v>
      </c>
      <c r="B215" s="224" t="s">
        <v>1406</v>
      </c>
      <c r="C215" s="224" t="s">
        <v>2136</v>
      </c>
      <c r="D215" s="903" t="str">
        <f t="shared" si="3"/>
        <v>OK</v>
      </c>
    </row>
    <row r="216" spans="1:4" ht="15" thickBot="1">
      <c r="A216" s="907" t="s">
        <v>2071</v>
      </c>
      <c r="B216" s="224" t="s">
        <v>1406</v>
      </c>
      <c r="C216" s="224" t="s">
        <v>2123</v>
      </c>
      <c r="D216" s="903" t="str">
        <f t="shared" si="3"/>
        <v>OK</v>
      </c>
    </row>
    <row r="217" spans="1:4" ht="15" thickBot="1">
      <c r="A217" s="907" t="s">
        <v>2072</v>
      </c>
      <c r="B217" s="224" t="s">
        <v>1406</v>
      </c>
      <c r="C217" s="224" t="s">
        <v>2124</v>
      </c>
      <c r="D217" s="903" t="str">
        <f t="shared" si="3"/>
        <v>OK</v>
      </c>
    </row>
    <row r="218" spans="1:4" ht="15" thickBot="1">
      <c r="A218" s="907" t="s">
        <v>2080</v>
      </c>
      <c r="B218" s="224" t="s">
        <v>1406</v>
      </c>
      <c r="C218" s="224" t="s">
        <v>2131</v>
      </c>
      <c r="D218" s="903" t="str">
        <f t="shared" si="3"/>
        <v>OK</v>
      </c>
    </row>
    <row r="219" spans="1:4" ht="15" thickBot="1">
      <c r="A219" s="907" t="s">
        <v>2081</v>
      </c>
      <c r="B219" s="224" t="s">
        <v>1406</v>
      </c>
      <c r="C219" s="224" t="s">
        <v>2132</v>
      </c>
      <c r="D219" s="903" t="str">
        <f t="shared" si="3"/>
        <v>OK</v>
      </c>
    </row>
    <row r="220" spans="1:4" ht="15" thickBot="1">
      <c r="A220" s="907" t="s">
        <v>2082</v>
      </c>
      <c r="B220" s="224" t="s">
        <v>1406</v>
      </c>
      <c r="C220" s="224" t="s">
        <v>2140</v>
      </c>
      <c r="D220" s="903" t="str">
        <f t="shared" si="3"/>
        <v>OK</v>
      </c>
    </row>
    <row r="221" spans="1:4" ht="15" thickBot="1">
      <c r="A221" s="907" t="s">
        <v>2083</v>
      </c>
      <c r="B221" s="224" t="s">
        <v>1406</v>
      </c>
      <c r="C221" s="224" t="s">
        <v>2141</v>
      </c>
      <c r="D221" s="903" t="str">
        <f t="shared" si="3"/>
        <v>OK</v>
      </c>
    </row>
    <row r="222" spans="1:4" ht="15" thickBot="1">
      <c r="A222" s="907" t="s">
        <v>2084</v>
      </c>
      <c r="B222" s="224" t="s">
        <v>1406</v>
      </c>
      <c r="C222" s="224" t="s">
        <v>2142</v>
      </c>
      <c r="D222" s="903" t="str">
        <f t="shared" si="3"/>
        <v>OK</v>
      </c>
    </row>
    <row r="223" spans="1:4" ht="15" thickBot="1">
      <c r="A223" s="907" t="s">
        <v>2085</v>
      </c>
      <c r="B223" s="224" t="s">
        <v>1406</v>
      </c>
      <c r="C223" s="224" t="s">
        <v>2143</v>
      </c>
      <c r="D223" s="903" t="str">
        <f t="shared" si="3"/>
        <v>OK</v>
      </c>
    </row>
    <row r="224" spans="1:4" ht="15" thickBot="1">
      <c r="A224" s="907" t="s">
        <v>2106</v>
      </c>
      <c r="B224" s="224" t="s">
        <v>1406</v>
      </c>
      <c r="C224" s="224" t="s">
        <v>2117</v>
      </c>
      <c r="D224" s="903" t="str">
        <f t="shared" si="3"/>
        <v>OK</v>
      </c>
    </row>
    <row r="225" spans="1:4" ht="15" thickBot="1">
      <c r="A225" s="907" t="s">
        <v>2107</v>
      </c>
      <c r="B225" s="224" t="s">
        <v>1406</v>
      </c>
      <c r="C225" s="224" t="s">
        <v>2118</v>
      </c>
      <c r="D225" s="903" t="str">
        <f t="shared" si="3"/>
        <v>OK</v>
      </c>
    </row>
    <row r="226" spans="1:4" ht="15" thickBot="1">
      <c r="A226" s="907" t="s">
        <v>2108</v>
      </c>
      <c r="B226" s="224" t="s">
        <v>1406</v>
      </c>
      <c r="C226" s="224" t="s">
        <v>2119</v>
      </c>
      <c r="D226" s="903" t="str">
        <f t="shared" si="3"/>
        <v>OK</v>
      </c>
    </row>
    <row r="227" spans="1:4" ht="15" thickBot="1">
      <c r="A227" s="907" t="s">
        <v>2109</v>
      </c>
      <c r="B227" s="224" t="s">
        <v>1406</v>
      </c>
      <c r="C227" s="224" t="s">
        <v>2137</v>
      </c>
      <c r="D227" s="903" t="str">
        <f t="shared" si="3"/>
        <v>OK</v>
      </c>
    </row>
    <row r="228" spans="1:4" ht="15" thickBot="1">
      <c r="A228" s="907" t="s">
        <v>2111</v>
      </c>
      <c r="B228" s="224" t="s">
        <v>1406</v>
      </c>
      <c r="C228" s="224" t="s">
        <v>2138</v>
      </c>
      <c r="D228" s="903" t="str">
        <f t="shared" si="3"/>
        <v>OK</v>
      </c>
    </row>
    <row r="229" spans="1:4" ht="15" thickBot="1">
      <c r="A229" s="612" t="s">
        <v>2155</v>
      </c>
      <c r="B229" s="224" t="s">
        <v>1406</v>
      </c>
      <c r="C229" s="224" t="s">
        <v>2164</v>
      </c>
      <c r="D229" s="903" t="str">
        <f t="shared" si="3"/>
        <v>OK</v>
      </c>
    </row>
    <row r="230" spans="1:4" ht="15" thickBot="1">
      <c r="A230" s="612" t="s">
        <v>2161</v>
      </c>
      <c r="B230" s="224" t="s">
        <v>1406</v>
      </c>
      <c r="C230" s="224" t="s">
        <v>2165</v>
      </c>
      <c r="D230" s="903" t="str">
        <f t="shared" si="3"/>
        <v>OK</v>
      </c>
    </row>
    <row r="231" spans="1:4" ht="15" thickBot="1">
      <c r="A231" s="612" t="s">
        <v>2160</v>
      </c>
      <c r="B231" s="224" t="s">
        <v>1406</v>
      </c>
      <c r="C231" s="224" t="s">
        <v>2166</v>
      </c>
      <c r="D231" s="903" t="str">
        <f t="shared" si="3"/>
        <v>OK</v>
      </c>
    </row>
    <row r="232" spans="1:4" ht="15" thickBot="1">
      <c r="A232" s="612" t="s">
        <v>2236</v>
      </c>
      <c r="B232" s="224" t="s">
        <v>1406</v>
      </c>
      <c r="C232" s="224" t="s">
        <v>2242</v>
      </c>
      <c r="D232" s="903" t="str">
        <f t="shared" si="3"/>
        <v>OK</v>
      </c>
    </row>
    <row r="233" spans="1:4" ht="15" thickBot="1">
      <c r="A233" s="612" t="s">
        <v>2234</v>
      </c>
      <c r="B233" s="224" t="s">
        <v>1406</v>
      </c>
      <c r="C233" s="224" t="s">
        <v>2243</v>
      </c>
      <c r="D233" s="903" t="str">
        <f t="shared" si="3"/>
        <v>OK</v>
      </c>
    </row>
    <row r="234" spans="1:4" ht="15" thickBot="1">
      <c r="A234" s="612" t="s">
        <v>2235</v>
      </c>
      <c r="B234" s="224" t="s">
        <v>1406</v>
      </c>
      <c r="C234" s="224" t="s">
        <v>2244</v>
      </c>
      <c r="D234" s="903" t="str">
        <f t="shared" si="3"/>
        <v>OK</v>
      </c>
    </row>
    <row r="235" spans="1:4" ht="15" thickBot="1">
      <c r="A235" s="612" t="s">
        <v>2237</v>
      </c>
      <c r="B235" s="224" t="s">
        <v>1412</v>
      </c>
      <c r="C235" s="224" t="s">
        <v>2245</v>
      </c>
      <c r="D235" s="903" t="str">
        <f t="shared" si="3"/>
        <v>OK</v>
      </c>
    </row>
    <row r="236" spans="1:4" ht="15" thickBot="1">
      <c r="A236" s="612" t="s">
        <v>2256</v>
      </c>
      <c r="B236" s="224" t="s">
        <v>1406</v>
      </c>
      <c r="C236" s="224" t="s">
        <v>2267</v>
      </c>
      <c r="D236" s="903" t="str">
        <f t="shared" si="3"/>
        <v>OK</v>
      </c>
    </row>
    <row r="237" spans="1:4" ht="15" thickBot="1">
      <c r="A237" s="612" t="s">
        <v>2263</v>
      </c>
      <c r="B237" s="224" t="s">
        <v>1406</v>
      </c>
      <c r="C237" s="224" t="s">
        <v>2268</v>
      </c>
      <c r="D237" s="903" t="str">
        <f t="shared" si="3"/>
        <v>OK</v>
      </c>
    </row>
    <row r="238" spans="1:4">
      <c r="A238" s="612" t="s">
        <v>2264</v>
      </c>
      <c r="B238" s="224" t="s">
        <v>1406</v>
      </c>
      <c r="C238" s="224" t="s">
        <v>2269</v>
      </c>
      <c r="D238" s="903" t="str">
        <f t="shared" si="3"/>
        <v>OK</v>
      </c>
    </row>
    <row r="239" spans="1:4">
      <c r="A239" s="612" t="s">
        <v>2283</v>
      </c>
      <c r="B239" s="224" t="s">
        <v>1406</v>
      </c>
      <c r="C239" s="224" t="s">
        <v>2298</v>
      </c>
      <c r="D239" s="310" t="str">
        <f t="shared" si="3"/>
        <v>OK</v>
      </c>
    </row>
    <row r="240" spans="1:4">
      <c r="A240" s="612" t="s">
        <v>2284</v>
      </c>
      <c r="B240" s="224" t="s">
        <v>1406</v>
      </c>
      <c r="C240" s="224" t="s">
        <v>2299</v>
      </c>
      <c r="D240" s="310" t="str">
        <f t="shared" si="3"/>
        <v>OK</v>
      </c>
    </row>
    <row r="241" spans="1:4">
      <c r="A241" s="612" t="s">
        <v>2288</v>
      </c>
      <c r="B241" s="224" t="s">
        <v>1406</v>
      </c>
      <c r="C241" s="224" t="s">
        <v>2300</v>
      </c>
      <c r="D241" s="310" t="str">
        <f t="shared" si="3"/>
        <v>OK</v>
      </c>
    </row>
    <row r="242" spans="1:4">
      <c r="A242" s="612" t="s">
        <v>2289</v>
      </c>
      <c r="B242" s="224" t="s">
        <v>1406</v>
      </c>
      <c r="C242" s="224" t="s">
        <v>2301</v>
      </c>
      <c r="D242" s="310" t="str">
        <f t="shared" si="3"/>
        <v>OK</v>
      </c>
    </row>
    <row r="243" spans="1:4">
      <c r="A243" s="612" t="s">
        <v>2285</v>
      </c>
      <c r="B243" s="224" t="s">
        <v>1406</v>
      </c>
      <c r="C243" s="224" t="s">
        <v>2302</v>
      </c>
      <c r="D243" s="310" t="str">
        <f t="shared" si="3"/>
        <v>OK</v>
      </c>
    </row>
    <row r="244" spans="1:4">
      <c r="A244" s="612" t="s">
        <v>2286</v>
      </c>
      <c r="B244" s="224" t="s">
        <v>1406</v>
      </c>
      <c r="C244" s="224" t="s">
        <v>2303</v>
      </c>
      <c r="D244" s="310"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44">
    <cfRule type="containsText" dxfId="14" priority="3" operator="containsText" text="OK">
      <formula>NOT(ISERROR(SEARCH("OK",D3)))</formula>
    </cfRule>
  </conditionalFormatting>
  <conditionalFormatting sqref="E4:E137">
    <cfRule type="containsText" dxfId="13" priority="1" operator="containsText" text="OK">
      <formula>NOT(ISERROR(SEARCH("OK",E4)))</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5"/>
  <sheetViews>
    <sheetView zoomScale="90" zoomScaleNormal="90" workbookViewId="0">
      <pane ySplit="2" topLeftCell="A236" activePane="bottomLeft" state="frozen"/>
      <selection pane="bottomLeft" activeCell="L255" sqref="L255"/>
    </sheetView>
  </sheetViews>
  <sheetFormatPr defaultRowHeight="14.4"/>
  <cols>
    <col min="1" max="1" width="9.109375" style="6" bestFit="1" customWidth="1"/>
    <col min="2" max="3" width="9" style="6" bestFit="1" customWidth="1"/>
    <col min="4" max="4" width="5.6640625" customWidth="1"/>
    <col min="5" max="5" width="35.33203125" bestFit="1" customWidth="1"/>
    <col min="6" max="6" width="16.88671875" bestFit="1" customWidth="1"/>
    <col min="7" max="7" width="35.33203125" bestFit="1" customWidth="1"/>
    <col min="8" max="8" width="16.109375" bestFit="1" customWidth="1"/>
    <col min="9" max="9" width="8.6640625" customWidth="1"/>
    <col min="10" max="10" width="36.44140625" style="16" customWidth="1"/>
    <col min="11" max="11" width="27.109375" style="4" customWidth="1"/>
    <col min="12" max="12" width="32.44140625" customWidth="1"/>
    <col min="13" max="13" width="18.44140625" customWidth="1"/>
    <col min="14" max="14" width="9" customWidth="1"/>
    <col min="15" max="15" width="55.6640625" bestFit="1" customWidth="1"/>
    <col min="16" max="16" width="30.88671875" customWidth="1"/>
    <col min="17" max="17" width="29.33203125" customWidth="1"/>
    <col min="18" max="18" width="20.6640625" customWidth="1"/>
    <col min="27" max="27" width="80.6640625" style="16" customWidth="1"/>
  </cols>
  <sheetData>
    <row r="1" spans="1:27" ht="30" customHeight="1" thickBot="1">
      <c r="A1" s="1221" t="s">
        <v>7</v>
      </c>
      <c r="B1" s="1222"/>
      <c r="C1" s="1223"/>
      <c r="E1" s="1221" t="s">
        <v>1714</v>
      </c>
      <c r="F1" s="1222"/>
      <c r="G1" s="1222"/>
      <c r="H1" s="1223"/>
      <c r="J1" s="1224" t="s">
        <v>1715</v>
      </c>
      <c r="K1" s="1225"/>
      <c r="L1" s="1225"/>
      <c r="M1" s="1226"/>
      <c r="N1" s="93"/>
      <c r="O1" s="93"/>
      <c r="P1" s="93"/>
    </row>
    <row r="2" spans="1:27" s="6" customFormat="1" ht="115.5" customHeight="1" thickBot="1">
      <c r="A2" s="48" t="s">
        <v>9</v>
      </c>
      <c r="B2" s="48" t="s">
        <v>12</v>
      </c>
      <c r="C2" s="84" t="s">
        <v>1147</v>
      </c>
      <c r="E2" s="48" t="s">
        <v>9</v>
      </c>
      <c r="F2" s="48" t="s">
        <v>1716</v>
      </c>
      <c r="G2" s="48" t="s">
        <v>12</v>
      </c>
      <c r="H2" s="91" t="s">
        <v>1717</v>
      </c>
      <c r="J2" s="86" t="s">
        <v>1718</v>
      </c>
      <c r="K2" s="94" t="s">
        <v>1719</v>
      </c>
      <c r="L2" s="86" t="s">
        <v>1720</v>
      </c>
      <c r="M2" s="94" t="s">
        <v>1721</v>
      </c>
      <c r="N2" s="86"/>
      <c r="O2" s="86" t="s">
        <v>1331</v>
      </c>
      <c r="P2" s="86" t="s">
        <v>1722</v>
      </c>
      <c r="Q2" s="611" t="s">
        <v>1723</v>
      </c>
      <c r="R2" s="611" t="s">
        <v>1724</v>
      </c>
      <c r="AA2" s="457" t="s">
        <v>1725</v>
      </c>
    </row>
    <row r="3" spans="1:27" ht="1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7">_xlfn.UNIQUE('Transfer coefficients'!A:A)</f>
        <v>From</v>
      </c>
      <c r="K3" s="303"/>
      <c r="L3" s="305" t="str" cm="1">
        <f t="array" ref="L3:L275">_xlfn.UNIQUE('Transfer coefficients'!B:B)</f>
        <v>To</v>
      </c>
      <c r="M3" s="85"/>
      <c r="N3" s="6"/>
      <c r="O3" s="6"/>
      <c r="P3" s="6"/>
      <c r="AA3" s="458" t="s">
        <v>1726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1727</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1728</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1729</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1730</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1731</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1732</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1733</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1734</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1735</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1736</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1737</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1738</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1739</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1740</v>
      </c>
    </row>
    <row r="18" spans="1:27" ht="1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1741</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1742</v>
      </c>
    </row>
    <row r="20" spans="1:27" ht="1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1743</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1744</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1745</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1746</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2010</v>
      </c>
      <c r="AA24" s="458" t="s">
        <v>1747</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1748</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1749</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1750</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1751</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1752</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1753</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1754</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1755</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1756</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1757</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1758</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1759</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1760</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1761</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1762</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1763</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1764</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1765</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1766</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1767</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1768</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1769</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1770</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1771</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1772</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1773</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1774</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1775</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1776</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1777</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1778</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1779</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1780</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1781</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1782</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1783</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1784</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1785</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1786</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1787</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1788</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1789</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1790</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1791</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1792</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1793</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1794</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1795</v>
      </c>
    </row>
    <row r="73" spans="10:27">
      <c r="J73" s="301" t="str">
        <v>Construction and demolition incinerable waste collection</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1796</v>
      </c>
    </row>
    <row r="74" spans="10:27">
      <c r="J74" s="301" t="str">
        <v>Indoor air (micro)</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1797</v>
      </c>
    </row>
    <row r="75" spans="10:27">
      <c r="J75" s="301" t="str">
        <v>Infill material sports fields</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1798</v>
      </c>
    </row>
    <row r="76" spans="10:27">
      <c r="J76" s="301" t="str">
        <v>Mixed waste collection</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1799</v>
      </c>
    </row>
    <row r="77" spans="10:27" ht="15" customHeight="1">
      <c r="J77" s="301" t="str">
        <v>Dumping</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1800</v>
      </c>
    </row>
    <row r="78" spans="10:27" ht="15" customHeight="1">
      <c r="J78" s="301" t="str">
        <v>On-the-go consumption (nature)</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1801</v>
      </c>
    </row>
    <row r="79" spans="10:27" ht="15" customHeight="1">
      <c r="J79" s="301" t="str">
        <v>On-the-go consumption (residential)</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1802</v>
      </c>
    </row>
    <row r="80" spans="10:27" ht="15" customHeight="1">
      <c r="J80" s="301" t="str">
        <v>Mixed waste collection (micro)</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1803</v>
      </c>
    </row>
    <row r="81" spans="10:27" ht="15" customHeight="1">
      <c r="J81" s="301" t="str">
        <v>On-the-go consumption (transport)</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1804</v>
      </c>
    </row>
    <row r="82" spans="10:27">
      <c r="J82" s="301" t="str">
        <v>Litter in natural environments</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1805</v>
      </c>
    </row>
    <row r="83" spans="10:27">
      <c r="J83" s="301" t="str">
        <v>Indoor floors (micro)</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1806</v>
      </c>
    </row>
    <row r="84" spans="10:27">
      <c r="J84" s="301" t="str">
        <v>Litter in residential environments</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1807</v>
      </c>
    </row>
    <row r="85" spans="10:27">
      <c r="J85" s="301" t="str">
        <v>Medical textiles</v>
      </c>
      <c r="K85" s="306" t="str">
        <f>IF(ISBLANK(J85),"",IF(COUNTIF(L:L,J85),IF(_xlfn.XLOOKUP(J85,'Compartments_Kawecki&amp;Nowack19'!A:A,'Compartments_Kawecki&amp;Nowack19'!B:B,_xlfn.XLOOKUP(J85,Compartments_Added!A:A,Compartments_Added!B:B))="Stock","OK stock","OK flow"),IF(COUNTIF($G$4:$G$18,J85),IF(COUNTIF($E$4:$E$18,J85),"OK input","Missing"),"Missing")))</f>
        <v>OK stock</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1808</v>
      </c>
    </row>
    <row r="86" spans="10:27">
      <c r="J86" s="301" t="str">
        <v>Mobility textiles</v>
      </c>
      <c r="K86" s="306" t="str">
        <f>IF(ISBLANK(J86),"",IF(COUNTIF(L:L,J86),IF(_xlfn.XLOOKUP(J86,'Compartments_Kawecki&amp;Nowack19'!A:A,'Compartments_Kawecki&amp;Nowack19'!B:B,_xlfn.XLOOKUP(J86,Compartments_Added!A:A,Compartments_Added!B:B))="Stock","OK stock","OK flow"),IF(COUNTIF($G$4:$G$18,J86),IF(COUNTIF($E$4:$E$18,J86),"OK input","Missing"),"Missing")))</f>
        <v>OK stock</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1809</v>
      </c>
    </row>
    <row r="87" spans="10:27">
      <c r="J87" s="301" t="str">
        <v>Textile coating (discarded)</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1810</v>
      </c>
    </row>
    <row r="88" spans="10:27">
      <c r="J88" s="301" t="str">
        <v>Wet wipes</v>
      </c>
      <c r="K88" s="306" t="str">
        <f>IF(ISBLANK(J88),"",IF(COUNTIF(L:L,J88),IF(_xlfn.XLOOKUP(J88,'Compartments_Kawecki&amp;Nowack19'!A:A,'Compartments_Kawecki&amp;Nowack19'!B:B,_xlfn.XLOOKUP(J88,Compartments_Added!A:A,Compartments_Added!B:B))="Stock","OK stock","OK flow"),IF(COUNTIF($G$4:$G$18,J88),IF(COUNTIF($E$4:$E$18,J88),"OK input","Missing"),"Missing")))</f>
        <v>OK flow</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1811</v>
      </c>
    </row>
    <row r="89" spans="10:27">
      <c r="J89" s="301" t="str">
        <v>Detergents and maintenance products</v>
      </c>
      <c r="K89" s="306" t="str">
        <f>IF(ISBLANK(J89),"",IF(COUNTIF(L:L,J89),IF(_xlfn.XLOOKUP(J89,'Compartments_Kawecki&amp;Nowack19'!A:A,'Compartments_Kawecki&amp;Nowack19'!B:B,_xlfn.XLOOKUP(J89,Compartments_Added!A:A,Compartments_Added!B:B))="Stock","OK stock","OK flow"),IF(COUNTIF($G$4:$G$18,J89),IF(COUNTIF($E$4:$E$18,J89),"OK input","Missing"),"Missing")))</f>
        <v>OK flow</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1812</v>
      </c>
    </row>
    <row r="90" spans="10:27">
      <c r="J90" s="301" t="str">
        <v>Infill material sports fields (in use)</v>
      </c>
      <c r="K90" s="306" t="str">
        <f>IF(ISBLANK(J90),"",IF(COUNTIF(L:L,J90),IF(_xlfn.XLOOKUP(J90,'Compartments_Kawecki&amp;Nowack19'!A:A,'Compartments_Kawecki&amp;Nowack19'!B:B,_xlfn.XLOOKUP(J90,Compartments_Added!A:A,Compartments_Added!B:B))="Stock","OK stock","OK flow"),IF(COUNTIF($G$4:$G$18,J90),IF(COUNTIF($E$4:$E$18,J90),"OK input","Missing"),"Missing")))</f>
        <v>OK stock</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1813</v>
      </c>
    </row>
    <row r="91" spans="10:27">
      <c r="J91" s="301" t="str">
        <v>Infill material sports fields (discarded)</v>
      </c>
      <c r="K91" s="306" t="str">
        <f>IF(ISBLANK(J91),"",IF(COUNTIF(L:L,J91),IF(_xlfn.XLOOKUP(J91,'Compartments_Kawecki&amp;Nowack19'!A:A,'Compartments_Kawecki&amp;Nowack19'!B:B,_xlfn.XLOOKUP(J91,Compartments_Added!A:A,Compartments_Added!B:B))="Stock","OK stock","OK flow"),IF(COUNTIF($G$4:$G$18,J91),IF(COUNTIF($E$4:$E$18,J91),"OK input","Missing"),"Missing")))</f>
        <v>OK stock</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1814</v>
      </c>
    </row>
    <row r="92" spans="10:27">
      <c r="J92" s="301" t="str">
        <v>Food additives</v>
      </c>
      <c r="K92" s="306" t="str">
        <f>IF(ISBLANK(J92),"",IF(COUNTIF(L:L,J92),IF(_xlfn.XLOOKUP(J92,'Compartments_Kawecki&amp;Nowack19'!A:A,'Compartments_Kawecki&amp;Nowack19'!B:B,_xlfn.XLOOKUP(J92,Compartments_Added!A:A,Compartments_Added!B:B))="Stock","OK stock","OK flow"),IF(COUNTIF($G$4:$G$18,J92),IF(COUNTIF($E$4:$E$18,J92),"OK input","Missing"),"Missing")))</f>
        <v>OK flow</v>
      </c>
      <c r="L92" s="301" t="str">
        <v>On-the-go consumption</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1815</v>
      </c>
    </row>
    <row r="93" spans="10:27">
      <c r="J93" s="301" t="str">
        <v>Invitro diagnostic devices</v>
      </c>
      <c r="K93" s="306" t="str">
        <f>IF(ISBLANK(J93),"",IF(COUNTIF(L:L,J93),IF(_xlfn.XLOOKUP(J93,'Compartments_Kawecki&amp;Nowack19'!A:A,'Compartments_Kawecki&amp;Nowack19'!B:B,_xlfn.XLOOKUP(J93,Compartments_Added!A:A,Compartments_Added!B:B))="Stock","OK stock","OK flow"),IF(COUNTIF($G$4:$G$18,J93),IF(COUNTIF($E$4:$E$18,J93),"OK input","Missing"),"Missing")))</f>
        <v>OK flow</v>
      </c>
      <c r="L93" s="301" t="str">
        <v>On-the-go consumption (nature)</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1816</v>
      </c>
    </row>
    <row r="94" spans="10:27">
      <c r="J94" s="301" t="str">
        <v>Medicine diffusion limitation (slow release)</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(residential)</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1817</v>
      </c>
    </row>
    <row r="95" spans="10:27">
      <c r="J95" s="301" t="str">
        <v>PCCP</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(transport)</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1818</v>
      </c>
    </row>
    <row r="96" spans="10:27">
      <c r="J96" s="301" t="str">
        <v>Technical home textiles</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Other consumer packaging</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stock</v>
      </c>
      <c r="N96" s="6"/>
      <c r="O96" s="6" t="str">
        <f>Lifetimes_pairs!A94</f>
        <v>Open-toed shoes</v>
      </c>
      <c r="P96" s="6" t="str">
        <f>Lifetimes_pairs!B94</f>
        <v>ClothingFiveYears</v>
      </c>
      <c r="Q96">
        <f>Lifetimes!CW1</f>
        <v>0</v>
      </c>
      <c r="R96" t="str">
        <f t="shared" si="5"/>
        <v>OK</v>
      </c>
      <c r="AA96" t="s">
        <v>1819</v>
      </c>
    </row>
    <row r="97" spans="10:27">
      <c r="J97" s="301" t="str">
        <v>Technical home textiles (in use)</v>
      </c>
      <c r="K97" s="306" t="str">
        <f>IF(ISBLANK(J97),"",IF(COUNTIF(L:L,J97),IF(_xlfn.XLOOKUP(J97,'Compartments_Kawecki&amp;Nowack19'!A:A,'Compartments_Kawecki&amp;Nowack19'!B:B,_xlfn.XLOOKUP(J97,Compartments_Added!A:A,Compartments_Added!B:B))="Stock","OK stock","OK flow"),IF(COUNTIF($G$4:$G$18,J97),IF(COUNTIF($E$4:$E$18,J97),"OK input","Missing"),"Missing")))</f>
        <v>OK stock</v>
      </c>
      <c r="L97" s="301" t="str">
        <v>Other non-consumer films</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1820</v>
      </c>
    </row>
    <row r="98" spans="10:27">
      <c r="J98" s="301" t="str">
        <v>Technical textiles</v>
      </c>
      <c r="K98" s="306" t="str">
        <f>IF(ISBLANK(J98),"",IF(COUNTIF(L:L,J98),IF(_xlfn.XLOOKUP(J98,'Compartments_Kawecki&amp;Nowack19'!A:A,'Compartments_Kawecki&amp;Nowack19'!B:B,_xlfn.XLOOKUP(J98,Compartments_Added!A:A,Compartments_Added!B:B))="Stock","OK stock","OK flow"),IF(COUNTIF($G$4:$G$18,J98),IF(COUNTIF($E$4:$E$18,J98),"OK input","Missing"),"Missing")))</f>
        <v>OK input</v>
      </c>
      <c r="L98" s="301" t="str">
        <v>Other non-consumer packaging</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1821</v>
      </c>
    </row>
    <row r="99" spans="10:27">
      <c r="J99" s="301" t="str">
        <v>Textile coating (in use)</v>
      </c>
      <c r="K99" s="306" t="str">
        <f>IF(ISBLANK(J99),"",IF(COUNTIF(L:L,J99),IF(_xlfn.XLOOKUP(J99,'Compartments_Kawecki&amp;Nowack19'!A:A,'Compartments_Kawecki&amp;Nowack19'!B:B,_xlfn.XLOOKUP(J99,Compartments_Added!A:A,Compartments_Added!B:B))="Stock","OK stock","OK flow"),IF(COUNTIF($G$4:$G$18,J99),IF(COUNTIF($E$4:$E$18,J99),"OK input","Missing"),"Missing")))</f>
        <v>OK stock</v>
      </c>
      <c r="L99" s="301" t="str">
        <v>Building textiles</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t="str">
        <f>Lifetimes_pairs!A97</f>
        <v>Sweaters and midlayers</v>
      </c>
      <c r="P99" s="6" t="str">
        <f>Lifetimes_pairs!B97</f>
        <v>ClothingSixYears</v>
      </c>
      <c r="Q99">
        <f>Lifetimes!CZ1</f>
        <v>0</v>
      </c>
      <c r="R99" t="str">
        <f t="shared" si="5"/>
        <v>OK</v>
      </c>
      <c r="AA99" t="s">
        <v>1822</v>
      </c>
    </row>
    <row r="100" spans="10:27">
      <c r="J100" s="301" t="str">
        <v>Wastewater (macro)</v>
      </c>
      <c r="K100" s="306" t="str">
        <f>IF(ISBLANK(J100),"",IF(COUNTIF(L:L,J100),IF(_xlfn.XLOOKUP(J100,'Compartments_Kawecki&amp;Nowack19'!A:A,'Compartments_Kawecki&amp;Nowack19'!B:B,_xlfn.XLOOKUP(J100,Compartments_Added!A:A,Compartments_Added!B:B))="Stock","OK stock","OK flow"),IF(COUNTIF($G$4:$G$18,J100),IF(COUNTIF($E$4:$E$18,J100),"OK input","Missing"),"Missing")))</f>
        <v>OK flow</v>
      </c>
      <c r="L100" s="301" t="str">
        <v>Road side soil (micro)</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Sink</v>
      </c>
      <c r="N100" s="6"/>
      <c r="O100" s="6" t="str">
        <f>Lifetimes_pairs!A98</f>
        <v>Swimwear</v>
      </c>
      <c r="P100" s="6" t="str">
        <f>Lifetimes_pairs!B98</f>
        <v>ClothingTwoYears</v>
      </c>
      <c r="Q100">
        <f>Lifetimes!DA1</f>
        <v>0</v>
      </c>
      <c r="R100" t="str">
        <f t="shared" si="5"/>
        <v>OK</v>
      </c>
      <c r="AA100" t="s">
        <v>1823</v>
      </c>
    </row>
    <row r="101" spans="10:27">
      <c r="J101" s="301" t="str">
        <v>On-the-go consumption</v>
      </c>
      <c r="K101" s="306" t="str">
        <f>IF(ISBLANK(J101),"",IF(COUNTIF(L:L,J101),IF(_xlfn.XLOOKUP(J101,'Compartments_Kawecki&amp;Nowack19'!A:A,'Compartments_Kawecki&amp;Nowack19'!B:B,_xlfn.XLOOKUP(J101,Compartments_Added!A:A,Compartments_Added!B:B))="Stock","OK stock","OK flow"),IF(COUNTIF($G$4:$G$18,J101),IF(COUNTIF($E$4:$E$18,J101),"OK input","Missing"),"Missing")))</f>
        <v>OK flow</v>
      </c>
      <c r="L101" s="301" t="str">
        <v>Highway ZOAB non cleaned</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t="str">
        <f>Lifetimes_pairs!A99</f>
        <v>T-shirts</v>
      </c>
      <c r="P101" s="6" t="str">
        <f>Lifetimes_pairs!B99</f>
        <v>ClothingFiveYears</v>
      </c>
      <c r="Q101">
        <f>Lifetimes!DB1</f>
        <v>0</v>
      </c>
      <c r="R101" t="str">
        <f t="shared" si="5"/>
        <v>OK</v>
      </c>
      <c r="AA101" t="s">
        <v>1824</v>
      </c>
    </row>
    <row r="102" spans="10:27">
      <c r="J102" s="301" t="str">
        <v>Highway DAB non cleaned</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Packaging collection</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1825</v>
      </c>
    </row>
    <row r="103" spans="10:27">
      <c r="J103" s="301" t="str">
        <v>Highway ZOAB</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recycling</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1826</v>
      </c>
    </row>
    <row r="104" spans="10:27">
      <c r="J104" s="301" t="str">
        <v>Highway ZOAB non cleaned</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Geotextiles</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1827</v>
      </c>
    </row>
    <row r="105" spans="10:27">
      <c r="J105" s="301" t="str">
        <v>Road cleaning</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PCCP</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1828</v>
      </c>
    </row>
    <row r="106" spans="10:27">
      <c r="J106" s="301" t="str">
        <v>Road runoff</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Plant protection products</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1829</v>
      </c>
    </row>
    <row r="107" spans="10:27">
      <c r="J107" s="301" t="str">
        <v>Rural roads</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Primary water treatment (macro)</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1830</v>
      </c>
    </row>
    <row r="108" spans="10:27">
      <c r="J108" s="301" t="str">
        <v>Tyre wear</v>
      </c>
      <c r="K108" s="306" t="str">
        <f>IF(ISBLANK(J108),"",IF(COUNTIF(L:L,J108),IF(_xlfn.XLOOKUP(J108,'Compartments_Kawecki&amp;Nowack19'!A:A,'Compartments_Kawecki&amp;Nowack19'!B:B,_xlfn.XLOOKUP(J108,Compartments_Added!A:A,Compartments_Added!B:B))="Stock","OK stock","OK flow"),IF(COUNTIF($G$4:$G$18,J108),IF(COUNTIF($E$4:$E$18,J108),"OK input","Missing"),"Missing")))</f>
        <v>OK input</v>
      </c>
      <c r="L108" s="301" t="str">
        <v>Primary water treatment (micro)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1831</v>
      </c>
    </row>
    <row r="109" spans="10:27">
      <c r="J109" s="301" t="str">
        <v>On-site sewage facility (macro)</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Stormwater (macro)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1832</v>
      </c>
    </row>
    <row r="110" spans="10:27">
      <c r="J110" s="301" t="str">
        <v>On-site sewage facility (micro)</v>
      </c>
      <c r="K110" s="306" t="str">
        <f>IF(ISBLANK(J110),"",IF(COUNTIF(L:L,J110),IF(_xlfn.XLOOKUP(J110,'Compartments_Kawecki&amp;Nowack19'!A:A,'Compartments_Kawecki&amp;Nowack19'!B:B,_xlfn.XLOOKUP(J110,Compartments_Added!A:A,Compartments_Added!B:B))="Stock","OK stock","OK flow"),IF(COUNTIF($G$4:$G$18,J110),IF(COUNTIF($E$4:$E$18,J110),"OK input","Missing"),"Missing")))</f>
        <v>OK flow</v>
      </c>
      <c r="L110" s="301" t="str">
        <v>Stormwater (micro)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1833</v>
      </c>
    </row>
    <row r="111" spans="10:27">
      <c r="J111" s="301" t="str">
        <v>Litter on road sides</v>
      </c>
      <c r="K111" s="306" t="str">
        <f>IF(ISBLANK(J111),"",IF(COUNTIF(L:L,J111),IF(_xlfn.XLOOKUP(J111,'Compartments_Kawecki&amp;Nowack19'!A:A,'Compartments_Kawecki&amp;Nowack19'!B:B,_xlfn.XLOOKUP(J111,Compartments_Added!A:A,Compartments_Added!B:B))="Stock","OK stock","OK flow"),IF(COUNTIF($G$4:$G$18,J111),IF(COUNTIF($E$4:$E$18,J111),"OK input","Missing"),"Missing")))</f>
        <v>OK flow</v>
      </c>
      <c r="L111" s="301" t="str">
        <v>Highway</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1834</v>
      </c>
    </row>
    <row r="112" spans="10:27">
      <c r="J112" s="301" t="str">
        <v>Combined sewer overflow (micro)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Rural roads</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1835</v>
      </c>
    </row>
    <row r="113" spans="10:27">
      <c r="J113" s="301" t="str">
        <v>Urban roads</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Urban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1836</v>
      </c>
    </row>
    <row r="114" spans="10:27">
      <c r="J114" s="301" t="str">
        <v>Offshore oil &amp; gas applications</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Medical textiles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stock</v>
      </c>
      <c r="N114" s="6"/>
      <c r="O114" s="6">
        <f>Lifetimes_pairs!A112</f>
        <v>0</v>
      </c>
      <c r="P114" s="6">
        <f>Lifetimes_pairs!B112</f>
        <v>0</v>
      </c>
      <c r="Q114">
        <f>Lifetimes!DO1</f>
        <v>0</v>
      </c>
      <c r="R114" t="str">
        <f t="shared" si="5"/>
        <v>OK</v>
      </c>
      <c r="AA114" t="s">
        <v>1837</v>
      </c>
    </row>
    <row r="115" spans="10:27">
      <c r="J115" s="301" t="str">
        <v>Textile coating</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Seed coating</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Lifetimes!DP1</f>
        <v>0</v>
      </c>
      <c r="R115" t="str">
        <f t="shared" si="5"/>
        <v>OK</v>
      </c>
      <c r="AA115" t="s">
        <v>1838</v>
      </c>
    </row>
    <row r="116" spans="10:27">
      <c r="J116" s="301" t="str">
        <v>Textile recycling</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Sludge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1839</v>
      </c>
    </row>
    <row r="117" spans="10:27">
      <c r="J117" s="301" t="str">
        <v>Pellet losses transport land</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Sludge (micro)</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1840</v>
      </c>
    </row>
    <row r="118" spans="10:27">
      <c r="J118" s="301" t="str">
        <v>Pellet losses industrial plants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Road side soil (macro)</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Sink</v>
      </c>
      <c r="N118" s="6"/>
      <c r="O118" s="6">
        <f>Lifetimes_pairs!A116</f>
        <v>0</v>
      </c>
      <c r="P118" s="6">
        <f>Lifetimes_pairs!B116</f>
        <v>0</v>
      </c>
      <c r="Q118">
        <f>Lifetimes!DS1</f>
        <v>0</v>
      </c>
      <c r="R118" t="str">
        <f t="shared" si="5"/>
        <v>OK</v>
      </c>
      <c r="AA118" t="s">
        <v>1841</v>
      </c>
    </row>
    <row r="119" spans="10:27">
      <c r="J119" s="301" t="str">
        <v>Paint</v>
      </c>
      <c r="K119" s="306" t="str">
        <f>IF(ISBLANK(J119),"",IF(COUNTIF(L:L,J119),IF(_xlfn.XLOOKUP(J119,'Compartments_Kawecki&amp;Nowack19'!A:A,'Compartments_Kawecki&amp;Nowack19'!B:B,_xlfn.XLOOKUP(J119,Compartments_Added!A:A,Compartments_Added!B:B))="Stock","OK stock","OK flow"),IF(COUNTIF($G$4:$G$18,J119),IF(COUNTIF($E$4:$E$18,J119),"OK input","Missing"),"Missing")))</f>
        <v>OK input</v>
      </c>
      <c r="L119" s="301" t="str">
        <v>Road runoff</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1842</v>
      </c>
    </row>
    <row r="120" spans="10:27">
      <c r="J120" s="301" t="str">
        <v>Ship paint (prof)</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Mobility textiles</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Lifetimes!DU1</f>
        <v>0</v>
      </c>
      <c r="R120" t="str">
        <f t="shared" si="5"/>
        <v>OK</v>
      </c>
      <c r="AA120" t="s">
        <v>1843</v>
      </c>
    </row>
    <row r="121" spans="10:27">
      <c r="J121" s="301" t="str">
        <v>Ship paint (prof) (in use)</v>
      </c>
      <c r="K121" s="306" t="str">
        <f>IF(ISBLANK(J121),"",IF(COUNTIF(L:L,J121),IF(_xlfn.XLOOKUP(J121,'Compartments_Kawecki&amp;Nowack19'!A:A,'Compartments_Kawecki&amp;Nowack19'!B:B,_xlfn.XLOOKUP(J121,Compartments_Added!A:A,Compartments_Added!B:B))="Stock","OK stock","OK flow"),IF(COUNTIF($G$4:$G$18,J121),IF(COUNTIF($E$4:$E$18,J121),"OK input","Missing"),"Missing")))</f>
        <v>OK stock</v>
      </c>
      <c r="L121" s="301" t="str">
        <v>Other technical textiles</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stock</v>
      </c>
      <c r="N121" s="6"/>
      <c r="O121" s="6">
        <f>Lifetimes_pairs!A119</f>
        <v>0</v>
      </c>
      <c r="P121" s="6">
        <f>Lifetimes_pairs!B119</f>
        <v>0</v>
      </c>
      <c r="Q121">
        <f>Lifetimes!DV1</f>
        <v>0</v>
      </c>
      <c r="R121" t="str">
        <f t="shared" si="5"/>
        <v>OK</v>
      </c>
      <c r="AA121" t="s">
        <v>1844</v>
      </c>
    </row>
    <row r="122" spans="10:27">
      <c r="J122" s="301" t="str">
        <v>Ship paint (recr)</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Technical home textiles</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1845</v>
      </c>
    </row>
    <row r="123" spans="10:27">
      <c r="J123" s="301" t="str">
        <v>Ship paint (recr) (in use)</v>
      </c>
      <c r="K123" s="306" t="str">
        <f>IF(ISBLANK(J123),"",IF(COUNTIF(L:L,J123),IF(_xlfn.XLOOKUP(J123,'Compartments_Kawecki&amp;Nowack19'!A:A,'Compartments_Kawecki&amp;Nowack19'!B:B,_xlfn.XLOOKUP(J123,Compartments_Added!A:A,Compartments_Added!B:B))="Stock","OK stock","OK flow"),IF(COUNTIF($G$4:$G$18,J123),IF(COUNTIF($E$4:$E$18,J123),"OK input","Missing"),"Missing")))</f>
        <v>OK stock</v>
      </c>
      <c r="L123" s="301" t="str">
        <v>Textile coating (discarded)</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1846</v>
      </c>
    </row>
    <row r="124" spans="10:27">
      <c r="J124" s="301" t="str">
        <v>Ship paint (prof) (discarded)</v>
      </c>
      <c r="K124" s="306" t="str">
        <f>IF(ISBLANK(J124),"",IF(COUNTIF(L:L,J124),IF(_xlfn.XLOOKUP(J124,'Compartments_Kawecki&amp;Nowack19'!A:A,'Compartments_Kawecki&amp;Nowack19'!B:B,_xlfn.XLOOKUP(J124,Compartments_Added!A:A,Compartments_Added!B:B))="Stock","OK stock","OK flow"),IF(COUNTIF($G$4:$G$18,J124),IF(COUNTIF($E$4:$E$18,J124),"OK input","Missing"),"Missing")))</f>
        <v>OK stock</v>
      </c>
      <c r="L124" s="301" t="str">
        <v>Textile coating (in use)</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stock</v>
      </c>
      <c r="N124" s="6"/>
      <c r="O124" s="6">
        <f>Lifetimes_pairs!A122</f>
        <v>0</v>
      </c>
      <c r="P124" s="6">
        <f>Lifetimes_pairs!B122</f>
        <v>0</v>
      </c>
      <c r="Q124">
        <f>Lifetimes!DY1</f>
        <v>0</v>
      </c>
      <c r="R124" t="str">
        <f t="shared" si="5"/>
        <v>OK</v>
      </c>
      <c r="AA124" t="s">
        <v>1847</v>
      </c>
    </row>
    <row r="125" spans="10:27">
      <c r="J125" s="301" t="str">
        <v>Ship paint (recr) (discarded)</v>
      </c>
      <c r="K125" s="306" t="str">
        <f>IF(ISBLANK(J125),"",IF(COUNTIF(L:L,J125),IF(_xlfn.XLOOKUP(J125,'Compartments_Kawecki&amp;Nowack19'!A:A,'Compartments_Kawecki&amp;Nowack19'!B:B,_xlfn.XLOOKUP(J125,Compartments_Added!A:A,Compartments_Added!B:B))="Stock","OK stock","OK flow"),IF(COUNTIF($G$4:$G$18,J125),IF(COUNTIF($E$4:$E$18,J125),"OK input","Missing"),"Missing")))</f>
        <v>OK stock</v>
      </c>
      <c r="L125" s="301" t="str">
        <v>Wastewater (macro)</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1848</v>
      </c>
    </row>
    <row r="126" spans="10:27">
      <c r="J126" s="301" t="str">
        <v>Concrete paint (prof)</v>
      </c>
      <c r="K126" s="306" t="str">
        <f>IF(ISBLANK(J126),"",IF(COUNTIF(L:L,J126),IF(_xlfn.XLOOKUP(J126,'Compartments_Kawecki&amp;Nowack19'!A:A,'Compartments_Kawecki&amp;Nowack19'!B:B,_xlfn.XLOOKUP(J126,Compartments_Added!A:A,Compartments_Added!B:B))="Stock","OK stock","OK flow"),IF(COUNTIF($G$4:$G$18,J126),IF(COUNTIF($E$4:$E$18,J126),"OK input","Missing"),"Missing")))</f>
        <v>OK flow</v>
      </c>
      <c r="L126" s="301" t="str">
        <v>Pellet conversion</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1849</v>
      </c>
    </row>
    <row r="127" spans="10:27">
      <c r="J127" s="301" t="str">
        <v>Concrete paint (prof) outdoor</v>
      </c>
      <c r="K127" s="306" t="str">
        <f>IF(ISBLANK(J127),"",IF(COUNTIF(L:L,J127),IF(_xlfn.XLOOKUP(J127,'Compartments_Kawecki&amp;Nowack19'!A:A,'Compartments_Kawecki&amp;Nowack19'!B:B,_xlfn.XLOOKUP(J127,Compartments_Added!A:A,Compartments_Added!B:B))="Stock","OK stock","OK flow"),IF(COUNTIF($G$4:$G$18,J127),IF(COUNTIF($E$4:$E$18,J127),"OK input","Missing"),"Missing")))</f>
        <v>OK flow</v>
      </c>
      <c r="L127" s="301" t="str">
        <v>Textile coating</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1850</v>
      </c>
    </row>
    <row r="128" spans="10:27">
      <c r="J128" s="301" t="str">
        <v>Concrete paint (prof) outdoor (in use)</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Pellet losses transport land</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Lifetimes!EC1</f>
        <v>0</v>
      </c>
      <c r="R128" t="str">
        <f t="shared" si="5"/>
        <v>OK</v>
      </c>
      <c r="AA128" t="s">
        <v>1851</v>
      </c>
    </row>
    <row r="129" spans="10:27">
      <c r="J129" s="301" t="str">
        <v>Concrete paint (prof) indoor</v>
      </c>
      <c r="K129" s="306" t="str">
        <f>IF(ISBLANK(J129),"",IF(COUNTIF(L:L,J129),IF(_xlfn.XLOOKUP(J129,'Compartments_Kawecki&amp;Nowack19'!A:A,'Compartments_Kawecki&amp;Nowack19'!B:B,_xlfn.XLOOKUP(J129,Compartments_Added!A:A,Compartments_Added!B:B))="Stock","OK stock","OK flow"),IF(COUNTIF($G$4:$G$18,J129),IF(COUNTIF($E$4:$E$18,J129),"OK input","Missing"),"Missing")))</f>
        <v>OK flow</v>
      </c>
      <c r="L129" s="301" t="str">
        <v>Sea water (micro)</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Sink</v>
      </c>
      <c r="N129" s="6"/>
      <c r="O129" s="6">
        <f>Lifetimes_pairs!A127</f>
        <v>0</v>
      </c>
      <c r="P129" s="6">
        <f>Lifetimes_pairs!B127</f>
        <v>0</v>
      </c>
      <c r="Q129">
        <f>Lifetimes!ED1</f>
        <v>0</v>
      </c>
      <c r="R129" t="str">
        <f t="shared" si="5"/>
        <v>OK</v>
      </c>
      <c r="AA129" t="s">
        <v>1852</v>
      </c>
    </row>
    <row r="130" spans="10:27">
      <c r="J130" s="301" t="str">
        <v>Concrete paint (prof) indoor (in use)</v>
      </c>
      <c r="K130" s="306" t="str">
        <f>IF(ISBLANK(J130),"",IF(COUNTIF(L:L,J130),IF(_xlfn.XLOOKUP(J130,'Compartments_Kawecki&amp;Nowack19'!A:A,'Compartments_Kawecki&amp;Nowack19'!B:B,_xlfn.XLOOKUP(J130,Compartments_Added!A:A,Compartments_Added!B:B))="Stock","OK stock","OK flow"),IF(COUNTIF($G$4:$G$18,J130),IF(COUNTIF($E$4:$E$18,J130),"OK input","Missing"),"Missing")))</f>
        <v>OK stock</v>
      </c>
      <c r="L130" s="301" t="str">
        <v>Pellet losses industrial plants</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1853</v>
      </c>
    </row>
    <row r="131" spans="10:27">
      <c r="J131" s="301" t="str">
        <v>Concrete paint (prof) outdoor (discarded)</v>
      </c>
      <c r="K131" s="306" t="str">
        <f>IF(ISBLANK(J131),"",IF(COUNTIF(L:L,J131),IF(_xlfn.XLOOKUP(J131,'Compartments_Kawecki&amp;Nowack19'!A:A,'Compartments_Kawecki&amp;Nowack19'!B:B,_xlfn.XLOOKUP(J131,Compartments_Added!A:A,Compartments_Added!B:B))="Stock","OK stock","OK flow"),IF(COUNTIF($G$4:$G$18,J131),IF(COUNTIF($E$4:$E$18,J131),"OK input","Missing"),"Missing")))</f>
        <v>OK stock</v>
      </c>
      <c r="L131" s="301" t="str">
        <v>Concrete paint (prof)</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1854</v>
      </c>
    </row>
    <row r="132" spans="10:27">
      <c r="J132" s="301" t="str">
        <v>Concrete paint (prof) indoor (discarded)</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Lacquer (prof)</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1855</v>
      </c>
    </row>
    <row r="133" spans="10:27">
      <c r="J133" s="301" t="str">
        <v>Lacquer (prof)</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Wood stain (prof)</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1856</v>
      </c>
    </row>
    <row r="134" spans="10:27">
      <c r="J134" s="301" t="str">
        <v>Lacquer (prof) outdoor</v>
      </c>
      <c r="K134" s="306" t="str">
        <f>IF(ISBLANK(J134),"",IF(COUNTIF(L:L,J134),IF(_xlfn.XLOOKUP(J134,'Compartments_Kawecki&amp;Nowack19'!A:A,'Compartments_Kawecki&amp;Nowack19'!B:B,_xlfn.XLOOKUP(J134,Compartments_Added!A:A,Compartments_Added!B:B))="Stock","OK stock","OK flow"),IF(COUNTIF($G$4:$G$18,J134),IF(COUNTIF($E$4:$E$18,J134),"OK input","Missing"),"Missing")))</f>
        <v>OK flow</v>
      </c>
      <c r="L134" s="301" t="str">
        <v>Wall paint (prof)</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flow</v>
      </c>
      <c r="N134" s="6"/>
      <c r="O134" s="6">
        <f>Lifetimes_pairs!A132</f>
        <v>0</v>
      </c>
      <c r="P134" s="6">
        <f>Lifetimes_pairs!B132</f>
        <v>0</v>
      </c>
      <c r="Q134">
        <f>Lifetimes!EI1</f>
        <v>0</v>
      </c>
      <c r="R134" t="str">
        <f t="shared" si="6"/>
        <v>OK</v>
      </c>
      <c r="AA134" t="s">
        <v>1857</v>
      </c>
    </row>
    <row r="135" spans="10:27">
      <c r="J135" s="301" t="str">
        <v>Lacquer (prof) outdoor (in use)</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Plaster (prof)</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1858</v>
      </c>
    </row>
    <row r="136" spans="10:27">
      <c r="J136" s="301" t="str">
        <v>Lacquer (prof) indoor</v>
      </c>
      <c r="K136" s="306" t="str">
        <f>IF(ISBLANK(J136),"",IF(COUNTIF(L:L,J136),IF(_xlfn.XLOOKUP(J136,'Compartments_Kawecki&amp;Nowack19'!A:A,'Compartments_Kawecki&amp;Nowack19'!B:B,_xlfn.XLOOKUP(J136,Compartments_Added!A:A,Compartments_Added!B:B))="Stock","OK stock","OK flow"),IF(COUNTIF($G$4:$G$18,J136),IF(COUNTIF($E$4:$E$18,J136),"OK input","Missing"),"Missing")))</f>
        <v>OK flow</v>
      </c>
      <c r="L136" s="301" t="str">
        <v>Other paint uses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1859</v>
      </c>
    </row>
    <row r="137" spans="10:27">
      <c r="J137" s="301" t="str">
        <v>Lacquer (prof) indoor (in use)</v>
      </c>
      <c r="K137" s="306" t="str">
        <f>IF(ISBLANK(J137),"",IF(COUNTIF(L:L,J137),IF(_xlfn.XLOOKUP(J137,'Compartments_Kawecki&amp;Nowack19'!A:A,'Compartments_Kawecki&amp;Nowack19'!B:B,_xlfn.XLOOKUP(J137,Compartments_Added!A:A,Compartments_Added!B:B))="Stock","OK stock","OK flow"),IF(COUNTIF($G$4:$G$18,J137),IF(COUNTIF($E$4:$E$18,J137),"OK input","Missing"),"Missing")))</f>
        <v>OK stock</v>
      </c>
      <c r="L137" s="301" t="str">
        <v>Paints used in pre-made wooden products</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1860</v>
      </c>
    </row>
    <row r="138" spans="10:27">
      <c r="J138" s="301" t="str">
        <v>Lacquer (prof) outdoor (discarded)</v>
      </c>
      <c r="K138" s="306" t="str">
        <f>IF(ISBLANK(J138),"",IF(COUNTIF(L:L,J138),IF(_xlfn.XLOOKUP(J138,'Compartments_Kawecki&amp;Nowack19'!A:A,'Compartments_Kawecki&amp;Nowack19'!B:B,_xlfn.XLOOKUP(J138,Compartments_Added!A:A,Compartments_Added!B:B))="Stock","OK stock","OK flow"),IF(COUNTIF($G$4:$G$18,J138),IF(COUNTIF($E$4:$E$18,J138),"OK input","Missing"),"Missing")))</f>
        <v>OK stock</v>
      </c>
      <c r="L138" s="301" t="str">
        <v>Lacquer (DIY)</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1861</v>
      </c>
    </row>
    <row r="139" spans="10:27">
      <c r="J139" s="301" t="str">
        <v>Lacquer (prof) indoor (discarded)</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Wood stain (DIY)</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1862</v>
      </c>
    </row>
    <row r="140" spans="10:27">
      <c r="J140" s="301" t="str">
        <v>Wood stain (prof)</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Wall paint (DIY)</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1863</v>
      </c>
    </row>
    <row r="141" spans="10:27">
      <c r="J141" s="301" t="str">
        <v>Wood stain (prof) outdoor</v>
      </c>
      <c r="K141" s="306" t="str">
        <f>IF(ISBLANK(J141),"",IF(COUNTIF(L:L,J141),IF(_xlfn.XLOOKUP(J141,'Compartments_Kawecki&amp;Nowack19'!A:A,'Compartments_Kawecki&amp;Nowack19'!B:B,_xlfn.XLOOKUP(J141,Compartments_Added!A:A,Compartments_Added!B:B))="Stock","OK stock","OK flow"),IF(COUNTIF($G$4:$G$18,J141),IF(COUNTIF($E$4:$E$18,J141),"OK input","Missing"),"Missing")))</f>
        <v>OK flow</v>
      </c>
      <c r="L141" s="301" t="str">
        <v>Plaster (DIY)</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1864</v>
      </c>
    </row>
    <row r="142" spans="10:27" ht="14.4" customHeight="1">
      <c r="J142" s="301" t="str">
        <v>Wood stain (prof) outdoor (in use)</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Other paint uses (DIY)</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1865</v>
      </c>
    </row>
    <row r="143" spans="10:27" ht="14.4" customHeight="1">
      <c r="J143" s="301" t="str">
        <v>Wood stain (prof) indoor</v>
      </c>
      <c r="K143" s="306" t="str">
        <f>IF(ISBLANK(J143),"",IF(COUNTIF(L:L,J143),IF(_xlfn.XLOOKUP(J143,'Compartments_Kawecki&amp;Nowack19'!A:A,'Compartments_Kawecki&amp;Nowack19'!B:B,_xlfn.XLOOKUP(J143,Compartments_Added!A:A,Compartments_Added!B:B))="Stock","OK stock","OK flow"),IF(COUNTIF($G$4:$G$18,J143),IF(COUNTIF($E$4:$E$18,J143),"OK input","Missing"),"Missing")))</f>
        <v>OK flow</v>
      </c>
      <c r="L143" s="301" t="str">
        <v>Ship paint (prof)</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1866</v>
      </c>
    </row>
    <row r="144" spans="10:27">
      <c r="J144" s="301" t="str">
        <v>Wood stain (prof) indoor (in use)</v>
      </c>
      <c r="K144" s="306" t="str">
        <f>IF(ISBLANK(J144),"",IF(COUNTIF(L:L,J144),IF(_xlfn.XLOOKUP(J144,'Compartments_Kawecki&amp;Nowack19'!A:A,'Compartments_Kawecki&amp;Nowack19'!B:B,_xlfn.XLOOKUP(J144,Compartments_Added!A:A,Compartments_Added!B:B))="Stock","OK stock","OK flow"),IF(COUNTIF($G$4:$G$18,J144),IF(COUNTIF($E$4:$E$18,J144),"OK input","Missing"),"Missing")))</f>
        <v>OK stock</v>
      </c>
      <c r="L144" s="301" t="str">
        <v>Ship paint (recr)</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1867</v>
      </c>
    </row>
    <row r="145" spans="10:27">
      <c r="J145" s="301" t="str">
        <v>Wood stain (prof) outdoor (discarded)</v>
      </c>
      <c r="K145" s="306" t="str">
        <f>IF(ISBLANK(J145),"",IF(COUNTIF(L:L,J145),IF(_xlfn.XLOOKUP(J145,'Compartments_Kawecki&amp;Nowack19'!A:A,'Compartments_Kawecki&amp;Nowack19'!B:B,_xlfn.XLOOKUP(J145,Compartments_Added!A:A,Compartments_Added!B:B))="Stock","OK stock","OK flow"),IF(COUNTIF($G$4:$G$18,J145),IF(COUNTIF($E$4:$E$18,J145),"OK input","Missing"),"Missing")))</f>
        <v>OK stock</v>
      </c>
      <c r="L145" s="301" t="str">
        <v>Ship paint (prof) (in use)</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stock</v>
      </c>
      <c r="N145" s="6"/>
      <c r="O145" s="6">
        <f>Lifetimes_pairs!A143</f>
        <v>0</v>
      </c>
      <c r="P145" s="6">
        <f>Lifetimes_pairs!B143</f>
        <v>0</v>
      </c>
      <c r="Q145">
        <f>Lifetimes!ET1</f>
        <v>0</v>
      </c>
      <c r="R145" t="str">
        <f t="shared" si="6"/>
        <v>OK</v>
      </c>
      <c r="AA145" t="s">
        <v>1868</v>
      </c>
    </row>
    <row r="146" spans="10:27" ht="15" customHeight="1">
      <c r="J146" s="301" t="str">
        <v>Wood stain (prof) indoor (discarded)</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Ship paint (prof) (discarded)</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stock</v>
      </c>
      <c r="N146" s="6"/>
      <c r="O146" s="6">
        <f>Lifetimes_pairs!A144</f>
        <v>0</v>
      </c>
      <c r="P146" s="6">
        <f>Lifetimes_pairs!B144</f>
        <v>0</v>
      </c>
      <c r="Q146">
        <f>Lifetimes!EU1</f>
        <v>0</v>
      </c>
      <c r="R146" t="str">
        <f t="shared" si="6"/>
        <v>OK</v>
      </c>
      <c r="AA146" t="s">
        <v>1869</v>
      </c>
    </row>
    <row r="147" spans="10:27">
      <c r="J147" s="301" t="str">
        <v>Wall paint (prof)</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Ship paint (recr) (in use)</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stock</v>
      </c>
      <c r="N147" s="6"/>
      <c r="O147" s="6">
        <f>Lifetimes_pairs!A145</f>
        <v>0</v>
      </c>
      <c r="P147" s="6">
        <f>Lifetimes_pairs!B145</f>
        <v>0</v>
      </c>
      <c r="Q147">
        <f>Lifetimes!EV1</f>
        <v>0</v>
      </c>
      <c r="R147" t="str">
        <f t="shared" si="6"/>
        <v>OK</v>
      </c>
      <c r="AA147" t="s">
        <v>1870</v>
      </c>
    </row>
    <row r="148" spans="10:27">
      <c r="J148" s="301" t="str">
        <v>Wall paint (prof) outdoor</v>
      </c>
      <c r="K148" s="306" t="str">
        <f>IF(ISBLANK(J148),"",IF(COUNTIF(L:L,J148),IF(_xlfn.XLOOKUP(J148,'Compartments_Kawecki&amp;Nowack19'!A:A,'Compartments_Kawecki&amp;Nowack19'!B:B,_xlfn.XLOOKUP(J148,Compartments_Added!A:A,Compartments_Added!B:B))="Stock","OK stock","OK flow"),IF(COUNTIF($G$4:$G$18,J148),IF(COUNTIF($E$4:$E$18,J148),"OK input","Missing"),"Missing")))</f>
        <v>OK flow</v>
      </c>
      <c r="L148" s="301" t="str">
        <v>Ship paint (recr) (discarded)</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stock</v>
      </c>
      <c r="N148" s="6"/>
      <c r="O148" s="6">
        <f>Lifetimes_pairs!A146</f>
        <v>0</v>
      </c>
      <c r="P148" s="6">
        <f>Lifetimes_pairs!B146</f>
        <v>0</v>
      </c>
      <c r="Q148">
        <f>Lifetimes!EW1</f>
        <v>0</v>
      </c>
      <c r="R148" t="str">
        <f t="shared" si="6"/>
        <v>OK</v>
      </c>
      <c r="AA148" t="s">
        <v>1871</v>
      </c>
    </row>
    <row r="149" spans="10:27">
      <c r="J149" s="301" t="str">
        <v>Wall paint (prof) outdoor (in use)</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Concrete paint (prof) outdoor</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Lifetimes!EX1</f>
        <v>0</v>
      </c>
      <c r="R149" t="str">
        <f t="shared" si="6"/>
        <v>OK</v>
      </c>
      <c r="AA149" t="s">
        <v>1872</v>
      </c>
    </row>
    <row r="150" spans="10:27" ht="15" customHeight="1">
      <c r="J150" s="301" t="str">
        <v>Wall paint (prof) indoor</v>
      </c>
      <c r="K150" s="306" t="str">
        <f>IF(ISBLANK(J150),"",IF(COUNTIF(L:L,J150),IF(_xlfn.XLOOKUP(J150,'Compartments_Kawecki&amp;Nowack19'!A:A,'Compartments_Kawecki&amp;Nowack19'!B:B,_xlfn.XLOOKUP(J150,Compartments_Added!A:A,Compartments_Added!B:B))="Stock","OK stock","OK flow"),IF(COUNTIF($G$4:$G$18,J150),IF(COUNTIF($E$4:$E$18,J150),"OK input","Missing"),"Missing")))</f>
        <v>OK flow</v>
      </c>
      <c r="L150" s="301" t="str">
        <v>Concrete paint (prof) indoor</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Lifetimes!EY1</f>
        <v>0</v>
      </c>
      <c r="R150" t="str">
        <f t="shared" si="6"/>
        <v>OK</v>
      </c>
      <c r="AA150" t="s">
        <v>1873</v>
      </c>
    </row>
    <row r="151" spans="10:27">
      <c r="J151" s="301" t="str">
        <v>Wall paint (prof) indoor (in use)</v>
      </c>
      <c r="K151" s="306" t="str">
        <f>IF(ISBLANK(J151),"",IF(COUNTIF(L:L,J151),IF(_xlfn.XLOOKUP(J151,'Compartments_Kawecki&amp;Nowack19'!A:A,'Compartments_Kawecki&amp;Nowack19'!B:B,_xlfn.XLOOKUP(J151,Compartments_Added!A:A,Compartments_Added!B:B))="Stock","OK stock","OK flow"),IF(COUNTIF($G$4:$G$18,J151),IF(COUNTIF($E$4:$E$18,J151),"OK input","Missing"),"Missing")))</f>
        <v>OK stock</v>
      </c>
      <c r="L151" s="301" t="str">
        <v>Concrete paint (prof) outdoor (in use)</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1874</v>
      </c>
    </row>
    <row r="152" spans="10:27">
      <c r="J152" s="301" t="str">
        <v>Wall paint (prof) outdoor (discarded)</v>
      </c>
      <c r="K152" s="306" t="str">
        <f>IF(ISBLANK(J152),"",IF(COUNTIF(L:L,J152),IF(_xlfn.XLOOKUP(J152,'Compartments_Kawecki&amp;Nowack19'!A:A,'Compartments_Kawecki&amp;Nowack19'!B:B,_xlfn.XLOOKUP(J152,Compartments_Added!A:A,Compartments_Added!B:B))="Stock","OK stock","OK flow"),IF(COUNTIF($G$4:$G$18,J152),IF(COUNTIF($E$4:$E$18,J152),"OK input","Missing"),"Missing")))</f>
        <v>OK stock</v>
      </c>
      <c r="L152" s="301" t="str">
        <v>Concrete paint (prof) outdoor (discarded)</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stock</v>
      </c>
      <c r="N152" s="6"/>
      <c r="O152" s="6"/>
      <c r="P152" s="6"/>
      <c r="Q152">
        <f>Lifetimes!FA1</f>
        <v>0</v>
      </c>
      <c r="R152" t="str">
        <f t="shared" si="6"/>
        <v>OK</v>
      </c>
      <c r="AA152" t="s">
        <v>1875</v>
      </c>
    </row>
    <row r="153" spans="10:27">
      <c r="J153" s="301" t="str">
        <v>Wall paint (prof) indoor (discarded)</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Concrete paint (prof) indoor (in use)</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stock</v>
      </c>
      <c r="N153" s="6"/>
      <c r="O153" s="6"/>
      <c r="P153" s="6"/>
      <c r="Q153">
        <f>Lifetimes!FB1</f>
        <v>0</v>
      </c>
      <c r="R153" t="str">
        <f t="shared" si="6"/>
        <v>OK</v>
      </c>
      <c r="AA153" t="s">
        <v>1876</v>
      </c>
    </row>
    <row r="154" spans="10:27">
      <c r="J154" s="301" t="str">
        <v>Plaster (prof)</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indoor (discarded)</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stock</v>
      </c>
      <c r="N154" s="6"/>
      <c r="O154" s="6"/>
      <c r="P154" s="6"/>
      <c r="Q154">
        <f>Lifetimes!FC1</f>
        <v>0</v>
      </c>
      <c r="R154" t="str">
        <f t="shared" si="6"/>
        <v>OK</v>
      </c>
      <c r="AA154" t="s">
        <v>1877</v>
      </c>
    </row>
    <row r="155" spans="10:27">
      <c r="J155" s="301" t="str">
        <v>Plaster (prof) outdoor</v>
      </c>
      <c r="K155" s="306" t="str">
        <f>IF(ISBLANK(J155),"",IF(COUNTIF(L:L,J155),IF(_xlfn.XLOOKUP(J155,'Compartments_Kawecki&amp;Nowack19'!A:A,'Compartments_Kawecki&amp;Nowack19'!B:B,_xlfn.XLOOKUP(J155,Compartments_Added!A:A,Compartments_Added!B:B))="Stock","OK stock","OK flow"),IF(COUNTIF($G$4:$G$18,J155),IF(COUNTIF($E$4:$E$18,J155),"OK input","Missing"),"Missing")))</f>
        <v>OK flow</v>
      </c>
      <c r="L155" s="301" t="str">
        <v>Lacquer (prof) outdoor</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1878</v>
      </c>
    </row>
    <row r="156" spans="10:27">
      <c r="J156" s="301" t="str">
        <v>Plaster (prof) outdoor (in use)</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Lacquer (prof) indoor</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Lifetimes!FE1</f>
        <v>0</v>
      </c>
      <c r="R156" t="str">
        <f t="shared" si="6"/>
        <v>OK</v>
      </c>
      <c r="AA156" t="s">
        <v>1879</v>
      </c>
    </row>
    <row r="157" spans="10:27">
      <c r="J157" s="301" t="str">
        <v>Plaster (prof) indoor</v>
      </c>
      <c r="K157" s="306" t="str">
        <f>IF(ISBLANK(J157),"",IF(COUNTIF(L:L,J157),IF(_xlfn.XLOOKUP(J157,'Compartments_Kawecki&amp;Nowack19'!A:A,'Compartments_Kawecki&amp;Nowack19'!B:B,_xlfn.XLOOKUP(J157,Compartments_Added!A:A,Compartments_Added!B:B))="Stock","OK stock","OK flow"),IF(COUNTIF($G$4:$G$18,J157),IF(COUNTIF($E$4:$E$18,J157),"OK input","Missing"),"Missing")))</f>
        <v>OK flow</v>
      </c>
      <c r="L157" s="301" t="str">
        <v>Lacquer (prof) outdoor (in use)</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1880</v>
      </c>
    </row>
    <row r="158" spans="10:27">
      <c r="J158" s="301" t="str">
        <v>Plaster (prof) indoor (in use)</v>
      </c>
      <c r="K158" s="306" t="str">
        <f>IF(ISBLANK(J158),"",IF(COUNTIF(L:L,J158),IF(_xlfn.XLOOKUP(J158,'Compartments_Kawecki&amp;Nowack19'!A:A,'Compartments_Kawecki&amp;Nowack19'!B:B,_xlfn.XLOOKUP(J158,Compartments_Added!A:A,Compartments_Added!B:B))="Stock","OK stock","OK flow"),IF(COUNTIF($G$4:$G$18,J158),IF(COUNTIF($E$4:$E$18,J158),"OK input","Missing"),"Missing")))</f>
        <v>OK stock</v>
      </c>
      <c r="L158" s="301" t="str">
        <v>Lacquer (prof) outdoor (discarded)</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1881</v>
      </c>
    </row>
    <row r="159" spans="10:27">
      <c r="J159" s="301" t="str">
        <v>Plaster (prof) outdoor (discarded)</v>
      </c>
      <c r="K159" s="306" t="str">
        <f>IF(ISBLANK(J159),"",IF(COUNTIF(L:L,J159),IF(_xlfn.XLOOKUP(J159,'Compartments_Kawecki&amp;Nowack19'!A:A,'Compartments_Kawecki&amp;Nowack19'!B:B,_xlfn.XLOOKUP(J159,Compartments_Added!A:A,Compartments_Added!B:B))="Stock","OK stock","OK flow"),IF(COUNTIF($G$4:$G$18,J159),IF(COUNTIF($E$4:$E$18,J159),"OK input","Missing"),"Missing")))</f>
        <v>OK stock</v>
      </c>
      <c r="L159" s="301" t="str">
        <v>Lacquer (prof) indoor (in use)</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1882</v>
      </c>
    </row>
    <row r="160" spans="10:27">
      <c r="J160" s="301" t="str">
        <v>Plaster (prof) indoor (discarded)</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indoor (discarded)</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Lifetimes!FI1</f>
        <v>0</v>
      </c>
      <c r="R160" t="str">
        <f t="shared" si="6"/>
        <v>OK</v>
      </c>
      <c r="AA160" t="s">
        <v>1883</v>
      </c>
    </row>
    <row r="161" spans="10:27">
      <c r="J161" s="301" t="str">
        <v>Other paint uses (prof)</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Wood stain (prof) outdoor</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Lifetimes!FJ1</f>
        <v>0</v>
      </c>
      <c r="R161" t="str">
        <f t="shared" si="6"/>
        <v>OK</v>
      </c>
      <c r="AA161" t="s">
        <v>1884</v>
      </c>
    </row>
    <row r="162" spans="10:27">
      <c r="J162" s="301" t="str">
        <v>Other paint uses (prof) outdoor</v>
      </c>
      <c r="K162" s="306" t="str">
        <f>IF(ISBLANK(J162),"",IF(COUNTIF(L:L,J162),IF(_xlfn.XLOOKUP(J162,'Compartments_Kawecki&amp;Nowack19'!A:A,'Compartments_Kawecki&amp;Nowack19'!B:B,_xlfn.XLOOKUP(J162,Compartments_Added!A:A,Compartments_Added!B:B))="Stock","OK stock","OK flow"),IF(COUNTIF($G$4:$G$18,J162),IF(COUNTIF($E$4:$E$18,J162),"OK input","Missing"),"Missing")))</f>
        <v>OK flow</v>
      </c>
      <c r="L162" s="301" t="str">
        <v>Wood stain (prof) indoor</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Lifetimes!FK1</f>
        <v>0</v>
      </c>
      <c r="R162" t="str">
        <f t="shared" si="6"/>
        <v>OK</v>
      </c>
      <c r="AA162" t="s">
        <v>1885</v>
      </c>
    </row>
    <row r="163" spans="10:27">
      <c r="J163" s="301" t="str">
        <v>Other paint uses (prof) outdoor (in use)</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Wood stain (prof) outdoor (in use)</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1886</v>
      </c>
    </row>
    <row r="164" spans="10:27">
      <c r="J164" s="301" t="str">
        <v>Other paint uses (prof) indoor</v>
      </c>
      <c r="K164" s="306" t="str">
        <f>IF(ISBLANK(J164),"",IF(COUNTIF(L:L,J164),IF(_xlfn.XLOOKUP(J164,'Compartments_Kawecki&amp;Nowack19'!A:A,'Compartments_Kawecki&amp;Nowack19'!B:B,_xlfn.XLOOKUP(J164,Compartments_Added!A:A,Compartments_Added!B:B))="Stock","OK stock","OK flow"),IF(COUNTIF($G$4:$G$18,J164),IF(COUNTIF($E$4:$E$18,J164),"OK input","Missing"),"Missing")))</f>
        <v>OK flow</v>
      </c>
      <c r="L164" s="301" t="str">
        <v>Wood stain (prof) outdoor (discarded)</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1887</v>
      </c>
    </row>
    <row r="165" spans="10:27">
      <c r="J165" s="301" t="str">
        <v>Other paint uses (prof) indoor (in use)</v>
      </c>
      <c r="K165" s="306" t="str">
        <f>IF(ISBLANK(J165),"",IF(COUNTIF(L:L,J165),IF(_xlfn.XLOOKUP(J165,'Compartments_Kawecki&amp;Nowack19'!A:A,'Compartments_Kawecki&amp;Nowack19'!B:B,_xlfn.XLOOKUP(J165,Compartments_Added!A:A,Compartments_Added!B:B))="Stock","OK stock","OK flow"),IF(COUNTIF($G$4:$G$18,J165),IF(COUNTIF($E$4:$E$18,J165),"OK input","Missing"),"Missing")))</f>
        <v>OK stock</v>
      </c>
      <c r="L165" s="301" t="str">
        <v>Wood stain (prof) indoor (in use)</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1888</v>
      </c>
    </row>
    <row r="166" spans="10:27">
      <c r="J166" s="301" t="str">
        <v>Other paint uses (prof) outdoor (discarded)</v>
      </c>
      <c r="K166" s="306" t="str">
        <f>IF(ISBLANK(J166),"",IF(COUNTIF(L:L,J166),IF(_xlfn.XLOOKUP(J166,'Compartments_Kawecki&amp;Nowack19'!A:A,'Compartments_Kawecki&amp;Nowack19'!B:B,_xlfn.XLOOKUP(J166,Compartments_Added!A:A,Compartments_Added!B:B))="Stock","OK stock","OK flow"),IF(COUNTIF($G$4:$G$18,J166),IF(COUNTIF($E$4:$E$18,J166),"OK input","Missing"),"Missing")))</f>
        <v>OK stock</v>
      </c>
      <c r="L166" s="301" t="str">
        <v>Wood stain (prof) indoor (discarded)</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Lifetimes!FO1</f>
        <v>0</v>
      </c>
      <c r="R166" t="str">
        <f t="shared" si="6"/>
        <v>OK</v>
      </c>
      <c r="AA166" t="s">
        <v>1889</v>
      </c>
    </row>
    <row r="167" spans="10:27">
      <c r="J167" s="301" t="str">
        <v>Other paint uses (prof) indoor (discarded)</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Wall paint (prof) outdoor</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Lifetimes!FP1</f>
        <v>0</v>
      </c>
      <c r="R167" t="str">
        <f t="shared" si="6"/>
        <v>OK</v>
      </c>
      <c r="AA167" t="s">
        <v>1890</v>
      </c>
    </row>
    <row r="168" spans="10:27">
      <c r="J168" s="301" t="str">
        <v>Paints used in pre-made wooden products</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Wall paint (prof) indoor</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Lifetimes!FQ1</f>
        <v>0</v>
      </c>
      <c r="R168" t="str">
        <f t="shared" si="6"/>
        <v>OK</v>
      </c>
      <c r="AA168" t="s">
        <v>1891</v>
      </c>
    </row>
    <row r="169" spans="10:27">
      <c r="J169" s="301" t="str">
        <v>Paints used in pre-made wooden products outdoor</v>
      </c>
      <c r="K169" s="306" t="str">
        <f>IF(ISBLANK(J169),"",IF(COUNTIF(L:L,J169),IF(_xlfn.XLOOKUP(J169,'Compartments_Kawecki&amp;Nowack19'!A:A,'Compartments_Kawecki&amp;Nowack19'!B:B,_xlfn.XLOOKUP(J169,Compartments_Added!A:A,Compartments_Added!B:B))="Stock","OK stock","OK flow"),IF(COUNTIF($G$4:$G$18,J169),IF(COUNTIF($E$4:$E$18,J169),"OK input","Missing"),"Missing")))</f>
        <v>OK flow</v>
      </c>
      <c r="L169" s="301" t="str">
        <v>Wall paint (prof) outdoor (in use)</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1892</v>
      </c>
    </row>
    <row r="170" spans="10:27">
      <c r="J170" s="301" t="str">
        <v>Paints used in pre-made wooden products outdoor (in use)</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Wall paint (prof) outdoor (discarded)</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Lifetimes!FS1</f>
        <v>0</v>
      </c>
      <c r="R170" t="str">
        <f t="shared" si="6"/>
        <v>OK</v>
      </c>
      <c r="AA170" t="s">
        <v>1893</v>
      </c>
    </row>
    <row r="171" spans="10:27">
      <c r="J171" s="301" t="str">
        <v>Paints used in pre-made wooden products indoor</v>
      </c>
      <c r="K171" s="306" t="str">
        <f>IF(ISBLANK(J171),"",IF(COUNTIF(L:L,J171),IF(_xlfn.XLOOKUP(J171,'Compartments_Kawecki&amp;Nowack19'!A:A,'Compartments_Kawecki&amp;Nowack19'!B:B,_xlfn.XLOOKUP(J171,Compartments_Added!A:A,Compartments_Added!B:B))="Stock","OK stock","OK flow"),IF(COUNTIF($G$4:$G$18,J171),IF(COUNTIF($E$4:$E$18,J171),"OK input","Missing"),"Missing")))</f>
        <v>OK flow</v>
      </c>
      <c r="L171" s="301" t="str">
        <v>Wall paint (prof) indoor (in use)</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1894</v>
      </c>
    </row>
    <row r="172" spans="10:27">
      <c r="J172" s="301" t="str">
        <v>Paints used in pre-made wooden products indoor (in use)</v>
      </c>
      <c r="K172" s="306" t="str">
        <f>IF(ISBLANK(J172),"",IF(COUNTIF(L:L,J172),IF(_xlfn.XLOOKUP(J172,'Compartments_Kawecki&amp;Nowack19'!A:A,'Compartments_Kawecki&amp;Nowack19'!B:B,_xlfn.XLOOKUP(J172,Compartments_Added!A:A,Compartments_Added!B:B))="Stock","OK stock","OK flow"),IF(COUNTIF($G$4:$G$18,J172),IF(COUNTIF($E$4:$E$18,J172),"OK input","Missing"),"Missing")))</f>
        <v>OK stock</v>
      </c>
      <c r="L172" s="301" t="str">
        <v>Wall paint (prof) indoor (discarded)</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Lifetimes!FU1</f>
        <v>0</v>
      </c>
      <c r="R172" t="str">
        <f t="shared" si="6"/>
        <v>OK</v>
      </c>
      <c r="AA172" t="s">
        <v>1895</v>
      </c>
    </row>
    <row r="173" spans="10:27">
      <c r="J173" s="301" t="str">
        <v>Paints used in pre-made wooden products outdoor (discarded)</v>
      </c>
      <c r="K173" s="306" t="str">
        <f>IF(ISBLANK(J173),"",IF(COUNTIF(L:L,J173),IF(_xlfn.XLOOKUP(J173,'Compartments_Kawecki&amp;Nowack19'!A:A,'Compartments_Kawecki&amp;Nowack19'!B:B,_xlfn.XLOOKUP(J173,Compartments_Added!A:A,Compartments_Added!B:B))="Stock","OK stock","OK flow"),IF(COUNTIF($G$4:$G$18,J173),IF(COUNTIF($E$4:$E$18,J173),"OK input","Missing"),"Missing")))</f>
        <v>OK stock</v>
      </c>
      <c r="L173" s="301" t="str">
        <v>Plaster (prof) outdoor</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Lifetimes!FV1</f>
        <v>0</v>
      </c>
      <c r="R173" t="str">
        <f t="shared" si="6"/>
        <v>OK</v>
      </c>
      <c r="AA173" t="s">
        <v>1896</v>
      </c>
    </row>
    <row r="174" spans="10:27">
      <c r="J174" s="301" t="str">
        <v>Paints used in pre-made wooden products indoor (discarded)</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Plaster (prof) indoor</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Lifetimes!FW1</f>
        <v>0</v>
      </c>
      <c r="R174" t="str">
        <f t="shared" si="6"/>
        <v>OK</v>
      </c>
      <c r="AA174" t="s">
        <v>1897</v>
      </c>
    </row>
    <row r="175" spans="10:27">
      <c r="J175" s="301" t="str">
        <v>Lacquer (DIY)</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Plaster (prof) outdoor (in use)</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1898</v>
      </c>
    </row>
    <row r="176" spans="10:27">
      <c r="J176" s="301" t="str">
        <v>Lacquer (DIY) outdoor</v>
      </c>
      <c r="K176" s="306" t="str">
        <f>IF(ISBLANK(J176),"",IF(COUNTIF(L:L,J176),IF(_xlfn.XLOOKUP(J176,'Compartments_Kawecki&amp;Nowack19'!A:A,'Compartments_Kawecki&amp;Nowack19'!B:B,_xlfn.XLOOKUP(J176,Compartments_Added!A:A,Compartments_Added!B:B))="Stock","OK stock","OK flow"),IF(COUNTIF($G$4:$G$18,J176),IF(COUNTIF($E$4:$E$18,J176),"OK input","Missing"),"Missing")))</f>
        <v>OK flow</v>
      </c>
      <c r="L176" s="301" t="str">
        <v>Plaster (prof) outdoor (discarded)</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1899</v>
      </c>
    </row>
    <row r="177" spans="10:27">
      <c r="J177" s="301" t="str">
        <v>Lacquer (DIY) outdoor (in use)</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Plaster (prof) indoor (in use)</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1900</v>
      </c>
    </row>
    <row r="178" spans="10:27">
      <c r="J178" s="301" t="str">
        <v>Lacquer (DIY) indoor</v>
      </c>
      <c r="K178" s="306" t="str">
        <f>IF(ISBLANK(J178),"",IF(COUNTIF(L:L,J178),IF(_xlfn.XLOOKUP(J178,'Compartments_Kawecki&amp;Nowack19'!A:A,'Compartments_Kawecki&amp;Nowack19'!B:B,_xlfn.XLOOKUP(J178,Compartments_Added!A:A,Compartments_Added!B:B))="Stock","OK stock","OK flow"),IF(COUNTIF($G$4:$G$18,J178),IF(COUNTIF($E$4:$E$18,J178),"OK input","Missing"),"Missing")))</f>
        <v>OK flow</v>
      </c>
      <c r="L178" s="301" t="str">
        <v>Plaster (prof) indoor (discarded)</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Lifetimes!GA1</f>
        <v>0</v>
      </c>
      <c r="R178" t="str">
        <f t="shared" si="6"/>
        <v>OK</v>
      </c>
      <c r="AA178" t="s">
        <v>1901</v>
      </c>
    </row>
    <row r="179" spans="10:27">
      <c r="J179" s="301" t="str">
        <v>Lacquer (DIY) indoor (in use)</v>
      </c>
      <c r="K179" s="306" t="str">
        <f>IF(ISBLANK(J179),"",IF(COUNTIF(L:L,J179),IF(_xlfn.XLOOKUP(J179,'Compartments_Kawecki&amp;Nowack19'!A:A,'Compartments_Kawecki&amp;Nowack19'!B:B,_xlfn.XLOOKUP(J179,Compartments_Added!A:A,Compartments_Added!B:B))="Stock","OK stock","OK flow"),IF(COUNTIF($G$4:$G$18,J179),IF(COUNTIF($E$4:$E$18,J179),"OK input","Missing"),"Missing")))</f>
        <v>OK stock</v>
      </c>
      <c r="L179" s="301" t="str">
        <v>Other paint uses (prof) outdoor</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1902</v>
      </c>
    </row>
    <row r="180" spans="10:27">
      <c r="J180" s="301" t="str">
        <v>Lacquer (DIY) outdoor (discarded)</v>
      </c>
      <c r="K180" s="306" t="str">
        <f>IF(ISBLANK(J180),"",IF(COUNTIF(L:L,J180),IF(_xlfn.XLOOKUP(J180,'Compartments_Kawecki&amp;Nowack19'!A:A,'Compartments_Kawecki&amp;Nowack19'!B:B,_xlfn.XLOOKUP(J180,Compartments_Added!A:A,Compartments_Added!B:B))="Stock","OK stock","OK flow"),IF(COUNTIF($G$4:$G$18,J180),IF(COUNTIF($E$4:$E$18,J180),"OK input","Missing"),"Missing")))</f>
        <v>OK stock</v>
      </c>
      <c r="L180" s="301" t="str">
        <v>Other paint uses (prof) indoor</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Lifetimes!GC1</f>
        <v>0</v>
      </c>
      <c r="R180" t="str">
        <f t="shared" si="6"/>
        <v>OK</v>
      </c>
      <c r="AA180" t="s">
        <v>1903</v>
      </c>
    </row>
    <row r="181" spans="10:27">
      <c r="J181" s="301" t="str">
        <v>Lacquer (DIY) indoor (discarded)</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Other paint uses (prof) outdoor (in use)</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1904</v>
      </c>
    </row>
    <row r="182" spans="10:27">
      <c r="J182" s="301" t="str">
        <v>Wood stain (DIY)</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Other paint uses (prof) outdoor (discarded)</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Lifetimes!GE1</f>
        <v>0</v>
      </c>
      <c r="R182" t="str">
        <f t="shared" si="6"/>
        <v>OK</v>
      </c>
      <c r="AA182" t="s">
        <v>1905</v>
      </c>
    </row>
    <row r="183" spans="10:27">
      <c r="J183" s="301" t="str">
        <v>Wood stain (DIY) outdoor</v>
      </c>
      <c r="K183" s="306" t="str">
        <f>IF(ISBLANK(J183),"",IF(COUNTIF(L:L,J183),IF(_xlfn.XLOOKUP(J183,'Compartments_Kawecki&amp;Nowack19'!A:A,'Compartments_Kawecki&amp;Nowack19'!B:B,_xlfn.XLOOKUP(J183,Compartments_Added!A:A,Compartments_Added!B:B))="Stock","OK stock","OK flow"),IF(COUNTIF($G$4:$G$18,J183),IF(COUNTIF($E$4:$E$18,J183),"OK input","Missing"),"Missing")))</f>
        <v>OK flow</v>
      </c>
      <c r="L183" s="301" t="str">
        <v>Other paint uses (prof) indoor (in use)</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Lifetimes!GF1</f>
        <v>0</v>
      </c>
      <c r="R183" t="str">
        <f t="shared" si="6"/>
        <v>OK</v>
      </c>
      <c r="AA183" t="s">
        <v>1906</v>
      </c>
    </row>
    <row r="184" spans="10:27">
      <c r="J184" s="301" t="str">
        <v>Wood stain (DIY) outdoor (in use)</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indoor (discarded)</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Lifetimes!GG1</f>
        <v>0</v>
      </c>
      <c r="R184" t="str">
        <f t="shared" si="6"/>
        <v>OK</v>
      </c>
      <c r="AA184" t="s">
        <v>1907</v>
      </c>
    </row>
    <row r="185" spans="10:27">
      <c r="J185" s="301" t="str">
        <v>Wood stain (DIY) indoor</v>
      </c>
      <c r="K185" s="306" t="str">
        <f>IF(ISBLANK(J185),"",IF(COUNTIF(L:L,J185),IF(_xlfn.XLOOKUP(J185,'Compartments_Kawecki&amp;Nowack19'!A:A,'Compartments_Kawecki&amp;Nowack19'!B:B,_xlfn.XLOOKUP(J185,Compartments_Added!A:A,Compartments_Added!B:B))="Stock","OK stock","OK flow"),IF(COUNTIF($G$4:$G$18,J185),IF(COUNTIF($E$4:$E$18,J185),"OK input","Missing"),"Missing")))</f>
        <v>OK flow</v>
      </c>
      <c r="L185" s="301" t="str">
        <v>Paints used in pre-made wooden products outdoor</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1908</v>
      </c>
    </row>
    <row r="186" spans="10:27">
      <c r="J186" s="301" t="str">
        <v>Wood stain (DIY) indoor (in use)</v>
      </c>
      <c r="K186" s="306" t="str">
        <f>IF(ISBLANK(J186),"",IF(COUNTIF(L:L,J186),IF(_xlfn.XLOOKUP(J186,'Compartments_Kawecki&amp;Nowack19'!A:A,'Compartments_Kawecki&amp;Nowack19'!B:B,_xlfn.XLOOKUP(J186,Compartments_Added!A:A,Compartments_Added!B:B))="Stock","OK stock","OK flow"),IF(COUNTIF($G$4:$G$18,J186),IF(COUNTIF($E$4:$E$18,J186),"OK input","Missing"),"Missing")))</f>
        <v>OK stock</v>
      </c>
      <c r="L186" s="301" t="str">
        <v>Paints used in pre-made wooden products indoor</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Lifetimes!GI1</f>
        <v>0</v>
      </c>
      <c r="R186" t="str">
        <f t="shared" si="6"/>
        <v>OK</v>
      </c>
      <c r="AA186" t="s">
        <v>1909</v>
      </c>
    </row>
    <row r="187" spans="10:27">
      <c r="J187" s="301" t="str">
        <v>Wood stain (DIY) outdoor (discarded)</v>
      </c>
      <c r="K187" s="306" t="str">
        <f>IF(ISBLANK(J187),"",IF(COUNTIF(L:L,J187),IF(_xlfn.XLOOKUP(J187,'Compartments_Kawecki&amp;Nowack19'!A:A,'Compartments_Kawecki&amp;Nowack19'!B:B,_xlfn.XLOOKUP(J187,Compartments_Added!A:A,Compartments_Added!B:B))="Stock","OK stock","OK flow"),IF(COUNTIF($G$4:$G$18,J187),IF(COUNTIF($E$4:$E$18,J187),"OK input","Missing"),"Missing")))</f>
        <v>OK stock</v>
      </c>
      <c r="L187" s="301" t="str">
        <v>Paints used in pre-made wooden products outdoor (in use)</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1910</v>
      </c>
    </row>
    <row r="188" spans="10:27">
      <c r="J188" s="301" t="str">
        <v>Wood stain (DIY) indoor (discarded)</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Paints used in pre-made wooden products outdoor (discarded)</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Lifetimes!GK1</f>
        <v>0</v>
      </c>
      <c r="R188" t="str">
        <f t="shared" si="6"/>
        <v>OK</v>
      </c>
      <c r="AA188" t="s">
        <v>1911</v>
      </c>
    </row>
    <row r="189" spans="10:27">
      <c r="J189" s="301" t="str">
        <v>Wall paint (DIY)</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Paints used in pre-made wooden products indoor (in use)</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Lifetimes!GL1</f>
        <v>0</v>
      </c>
      <c r="R189" t="str">
        <f t="shared" si="6"/>
        <v>OK</v>
      </c>
      <c r="AA189" t="s">
        <v>1912</v>
      </c>
    </row>
    <row r="190" spans="10:27">
      <c r="J190" s="335" t="str">
        <v>Wall paint (DIY) outdoor</v>
      </c>
      <c r="K190" s="306"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Paints used in pre-made wooden products indoor (discarded)</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Lifetimes!GM1</f>
        <v>0</v>
      </c>
      <c r="R190" t="str">
        <f t="shared" si="6"/>
        <v>OK</v>
      </c>
      <c r="AA190" t="s">
        <v>1913</v>
      </c>
    </row>
    <row r="191" spans="10:27">
      <c r="J191" s="335" t="str">
        <v>Wall paint (DIY) outdoor (in use)</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Lacquer (DIY) outdoor</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1914</v>
      </c>
    </row>
    <row r="192" spans="10:27">
      <c r="J192" s="336" t="str">
        <v>Wall paint (DIY) indoor</v>
      </c>
      <c r="K192" s="306" t="str">
        <f>IF(ISBLANK(J192),"",IF(COUNTIF(L:L,J192),IF(_xlfn.XLOOKUP(J192,'Compartments_Kawecki&amp;Nowack19'!A:A,'Compartments_Kawecki&amp;Nowack19'!B:B,_xlfn.XLOOKUP(J192,Compartments_Added!A:A,Compartments_Added!B:B))="Stock","OK stock","OK flow"),IF(COUNTIF($G$4:$G$18,J192),IF(COUNTIF($E$4:$E$18,J192),"OK input","Missing"),"Missing")))</f>
        <v>OK flow</v>
      </c>
      <c r="L192" s="97" t="str">
        <v>Lacquer (DIY) indoor</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Lifetimes!GO1</f>
        <v>0</v>
      </c>
      <c r="R192" t="str">
        <f t="shared" si="6"/>
        <v>OK</v>
      </c>
      <c r="AA192" t="s">
        <v>1915</v>
      </c>
    </row>
    <row r="193" spans="10:27">
      <c r="J193" s="335" t="str">
        <v>Wall paint (DIY) indoor applied</v>
      </c>
      <c r="K193" s="306" t="str">
        <f>IF(ISBLANK(J193),"",IF(COUNTIF(L:L,J193),IF(_xlfn.XLOOKUP(J193,'Compartments_Kawecki&amp;Nowack19'!A:A,'Compartments_Kawecki&amp;Nowack19'!B:B,_xlfn.XLOOKUP(J193,Compartments_Added!A:A,Compartments_Added!B:B))="Stock","OK stock","OK flow"),IF(COUNTIF($G$4:$G$18,J193),IF(COUNTIF($E$4:$E$18,J193),"OK input","Missing"),"Missing")))</f>
        <v>OK flow</v>
      </c>
      <c r="L193" s="97" t="str">
        <v>Lacquer (DIY) outdoor (in use)</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1916</v>
      </c>
    </row>
    <row r="194" spans="10:27">
      <c r="J194" s="335" t="str">
        <v>Wall paint (DIY) indoor applied (in use)</v>
      </c>
      <c r="K194" s="306"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Lacquer (DIY) outdoor (discarded)</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Lifetimes!GQ1</f>
        <v>0</v>
      </c>
      <c r="R194" t="str">
        <f t="shared" si="6"/>
        <v>OK</v>
      </c>
      <c r="AA194" t="s">
        <v>1917</v>
      </c>
    </row>
    <row r="195" spans="10:27">
      <c r="J195" s="335" t="str">
        <v>Wall paint (DIY) indoor on brush</v>
      </c>
      <c r="K195" s="306"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Lacquer (DIY) indoor (in use)</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1918</v>
      </c>
    </row>
    <row r="196" spans="10:27">
      <c r="J196" s="335" t="str">
        <v>Wall paint (DIY) outdoor (discarded)</v>
      </c>
      <c r="K196" s="306" t="str">
        <f>IF(ISBLANK(J196),"",IF(COUNTIF(L:L,J196),IF(_xlfn.XLOOKUP(J196,'Compartments_Kawecki&amp;Nowack19'!A:A,'Compartments_Kawecki&amp;Nowack19'!B:B,_xlfn.XLOOKUP(J196,Compartments_Added!A:A,Compartments_Added!B:B))="Stock","OK stock","OK flow"),IF(COUNTIF($G$4:$G$18,J196),IF(COUNTIF($E$4:$E$18,J196),"OK input","Missing"),"Missing")))</f>
        <v>OK stock</v>
      </c>
      <c r="L196" s="97" t="str">
        <v>Lacquer (DIY) indoor (discarded)</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Lifetimes!GS1</f>
        <v>0</v>
      </c>
      <c r="R196" t="str">
        <f t="shared" si="6"/>
        <v>OK</v>
      </c>
      <c r="AA196" t="s">
        <v>1919</v>
      </c>
    </row>
    <row r="197" spans="10:27">
      <c r="J197" s="335" t="str">
        <v>Wall paint (DIY) indoor applied (discarded)</v>
      </c>
      <c r="K197" s="306" t="str">
        <f>IF(ISBLANK(J197),"",IF(COUNTIF(L:L,J197),IF(_xlfn.XLOOKUP(J197,'Compartments_Kawecki&amp;Nowack19'!A:A,'Compartments_Kawecki&amp;Nowack19'!B:B,_xlfn.XLOOKUP(J197,Compartments_Added!A:A,Compartments_Added!B:B))="Stock","OK stock","OK flow"),IF(COUNTIF($G$4:$G$18,J197),IF(COUNTIF($E$4:$E$18,J197),"OK input","Missing"),"Missing")))</f>
        <v>OK stock</v>
      </c>
      <c r="L197" s="335" t="str">
        <v>Wood stain (DIY) outdoor</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Lifetimes!GT1</f>
        <v>0</v>
      </c>
      <c r="R197" t="str">
        <f t="shared" ref="R197:R235" si="7">IF(COUNTIF(P:P,Q197), "OK", "Missing")</f>
        <v>OK</v>
      </c>
      <c r="AA197" t="s">
        <v>1920</v>
      </c>
    </row>
    <row r="198" spans="10:27">
      <c r="J198" s="335" t="str">
        <v>Plaster (DIY)</v>
      </c>
      <c r="K198" s="306" t="str">
        <f>IF(ISBLANK(J198),"",IF(COUNTIF(L:L,J198),IF(_xlfn.XLOOKUP(J198,'Compartments_Kawecki&amp;Nowack19'!A:A,'Compartments_Kawecki&amp;Nowack19'!B:B,_xlfn.XLOOKUP(J198,Compartments_Added!A:A,Compartments_Added!B:B))="Stock","OK stock","OK flow"),IF(COUNTIF($G$4:$G$18,J198),IF(COUNTIF($E$4:$E$18,J198),"OK input","Missing"),"Missing")))</f>
        <v>OK flow</v>
      </c>
      <c r="L198" s="336" t="str">
        <v>Wood stain (DIY) indoor</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Lifetimes!GU1</f>
        <v>0</v>
      </c>
      <c r="R198" t="str">
        <f t="shared" si="7"/>
        <v>OK</v>
      </c>
      <c r="AA198" t="s">
        <v>1921</v>
      </c>
    </row>
    <row r="199" spans="10:27">
      <c r="J199" s="335" t="str">
        <v>Plaster (DIY) outdoor</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Wood stain (DIY) outdoor (in use)</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1922</v>
      </c>
    </row>
    <row r="200" spans="10:27">
      <c r="J200" s="335" t="str">
        <v>Plaster (DIY) outdoor (in use)</v>
      </c>
      <c r="K200" s="306"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Wood stain (DIY) outdoor (discarded)</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Lifetimes!GW1</f>
        <v>0</v>
      </c>
      <c r="R200" t="str">
        <f t="shared" si="7"/>
        <v>OK</v>
      </c>
      <c r="AA200" t="s">
        <v>1923</v>
      </c>
    </row>
    <row r="201" spans="10:27">
      <c r="J201" s="335" t="str">
        <v>Plaster (DIY) indoor</v>
      </c>
      <c r="K201" s="306" t="str">
        <f>IF(ISBLANK(J201),"",IF(COUNTIF(L:L,J201),IF(_xlfn.XLOOKUP(J201,'Compartments_Kawecki&amp;Nowack19'!A:A,'Compartments_Kawecki&amp;Nowack19'!B:B,_xlfn.XLOOKUP(J201,Compartments_Added!A:A,Compartments_Added!B:B))="Stock","OK stock","OK flow"),IF(COUNTIF($G$4:$G$18,J201),IF(COUNTIF($E$4:$E$18,J201),"OK input","Missing"),"Missing")))</f>
        <v>OK flow</v>
      </c>
      <c r="L201" s="97" t="str">
        <v>Wood stain (DIY) indoor (in use)</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Lifetimes!GX1</f>
        <v>0</v>
      </c>
      <c r="R201" t="str">
        <f t="shared" si="7"/>
        <v>OK</v>
      </c>
      <c r="AA201" t="s">
        <v>1924</v>
      </c>
    </row>
    <row r="202" spans="10:27">
      <c r="J202" s="335" t="str">
        <v>Plaster (DIY) indoor (in use)</v>
      </c>
      <c r="K202" s="306" t="str">
        <f>IF(ISBLANK(J202),"",IF(COUNTIF(L:L,J202),IF(_xlfn.XLOOKUP(J202,'Compartments_Kawecki&amp;Nowack19'!A:A,'Compartments_Kawecki&amp;Nowack19'!B:B,_xlfn.XLOOKUP(J202,Compartments_Added!A:A,Compartments_Added!B:B))="Stock","OK stock","OK flow"),IF(COUNTIF($G$4:$G$18,J202),IF(COUNTIF($E$4:$E$18,J202),"OK input","Missing"),"Missing")))</f>
        <v>OK stock</v>
      </c>
      <c r="L202" s="97" t="str">
        <v>Wood stain (DIY) indoor (discarded)</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Lifetimes!GY1</f>
        <v>0</v>
      </c>
      <c r="R202" t="str">
        <f t="shared" si="7"/>
        <v>OK</v>
      </c>
      <c r="AA202" t="s">
        <v>1925</v>
      </c>
    </row>
    <row r="203" spans="10:27">
      <c r="J203" s="335" t="str">
        <v>Plaster (DIY) outdoor (discarded)</v>
      </c>
      <c r="K203" s="306"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Wall paint (DIY) outdoor</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Lifetimes!GZ1</f>
        <v>0</v>
      </c>
      <c r="R203" t="str">
        <f t="shared" si="7"/>
        <v>OK</v>
      </c>
      <c r="AA203" t="s">
        <v>1926</v>
      </c>
    </row>
    <row r="204" spans="10:27">
      <c r="J204" s="335" t="str">
        <v>Plaster (DIY) indoor (discarded)</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Wall paint (DIY) indoor</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Lifetimes!HA1</f>
        <v>0</v>
      </c>
      <c r="R204" t="str">
        <f t="shared" si="7"/>
        <v>OK</v>
      </c>
      <c r="AA204" t="s">
        <v>1927</v>
      </c>
    </row>
    <row r="205" spans="10:27">
      <c r="J205" s="335" t="str">
        <v>Other paint uses (DIY)</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Wall paint (DIY) outdoor (in use)</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1928</v>
      </c>
    </row>
    <row r="206" spans="10:27">
      <c r="J206" s="335" t="str">
        <v>Other paint uses (DIY) outdoor</v>
      </c>
      <c r="K206" s="306"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Wall paint (DIY) outdoor (discarded)</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1929</v>
      </c>
    </row>
    <row r="207" spans="10:27">
      <c r="J207" s="335" t="str">
        <v>Other paint uses (DIY) outdoor (in use)</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Wall paint (DIY) indoor applied</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flow</v>
      </c>
      <c r="N207" s="7"/>
      <c r="Q207">
        <f>Lifetimes!HD1</f>
        <v>0</v>
      </c>
      <c r="R207" t="str">
        <f t="shared" si="7"/>
        <v>OK</v>
      </c>
      <c r="AA207" t="s">
        <v>1930</v>
      </c>
    </row>
    <row r="208" spans="10:27">
      <c r="J208" s="335" t="str">
        <v>Other paint uses (DIY) indoor</v>
      </c>
      <c r="K208" s="306"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Wall paint (DIY) indoor on brush</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1931</v>
      </c>
    </row>
    <row r="209" spans="10:27">
      <c r="J209" s="335" t="str">
        <v>Other paint uses (DIY) indoor (in use)</v>
      </c>
      <c r="K209" s="306" t="str">
        <f>IF(ISBLANK(J209),"",IF(COUNTIF(L:L,J209),IF(_xlfn.XLOOKUP(J209,'Compartments_Kawecki&amp;Nowack19'!A:A,'Compartments_Kawecki&amp;Nowack19'!B:B,_xlfn.XLOOKUP(J209,Compartments_Added!A:A,Compartments_Added!B:B))="Stock","OK stock","OK flow"),IF(COUNTIF($G$4:$G$18,J209),IF(COUNTIF($E$4:$E$18,J209),"OK input","Missing"),"Missing")))</f>
        <v>OK stock</v>
      </c>
      <c r="L209" s="335" t="str">
        <v>Wall paint (DIY) indoor applied (in use)</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stock</v>
      </c>
      <c r="N209" s="7"/>
      <c r="Q209">
        <f>Lifetimes!HF1</f>
        <v>0</v>
      </c>
      <c r="R209" t="str">
        <f t="shared" si="7"/>
        <v>OK</v>
      </c>
      <c r="AA209" t="s">
        <v>1932</v>
      </c>
    </row>
    <row r="210" spans="10:27">
      <c r="J210" s="335" t="str">
        <v>Other paint uses (DIY) outdoor (discarded)</v>
      </c>
      <c r="K210" s="306"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Wall paint (DIY) indoor applied (discarded)</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 thickBot="1">
      <c r="J211" s="304" t="str">
        <v>Other paint uses (DIY) indoor (discarded)</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Plaster (DIY) outdoor</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flow</v>
      </c>
      <c r="N211" s="7"/>
      <c r="R211" t="str">
        <f t="shared" si="7"/>
        <v>OK</v>
      </c>
    </row>
    <row r="212" spans="10:27">
      <c r="J212" s="16" t="str">
        <v>Import of clothing (EU)</v>
      </c>
      <c r="K212" s="306" t="str">
        <f>IF(ISBLANK(J212),"",IF(COUNTIF(L:L,J212),IF(_xlfn.XLOOKUP(J212,'Compartments_Kawecki&amp;Nowack19'!A:A,'Compartments_Kawecki&amp;Nowack19'!B:B,_xlfn.XLOOKUP(J212,Compartments_Added!A:A,Compartments_Added!B:B))="Stock","OK stock","OK flow"),IF(COUNTIF($G$4:$G$18,J212),IF(COUNTIF($E$4:$E$18,J212),"OK input","Missing"),"Missing")))</f>
        <v>Missing</v>
      </c>
      <c r="L212" t="str">
        <v>Plaster (DIY) indoor</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flow</v>
      </c>
      <c r="N212" s="7"/>
      <c r="R212" t="str">
        <f t="shared" si="7"/>
        <v>OK</v>
      </c>
    </row>
    <row r="213" spans="10:27">
      <c r="J213" s="16" t="str">
        <v>Clothing (product sector)</v>
      </c>
      <c r="K213" s="306" t="str">
        <f>IF(ISBLANK(J213),"",IF(COUNTIF(L:L,J213),IF(_xlfn.XLOOKUP(J213,'Compartments_Kawecki&amp;Nowack19'!A:A,'Compartments_Kawecki&amp;Nowack19'!B:B,_xlfn.XLOOKUP(J213,Compartments_Added!A:A,Compartments_Added!B:B))="Stock","OK stock","OK flow"),IF(COUNTIF($G$4:$G$18,J213),IF(COUNTIF($E$4:$E$18,J213),"OK input","Missing"),"Missing")))</f>
        <v>OK flow</v>
      </c>
      <c r="L213" t="str">
        <v>Plaster (DIY) outdoor (in use)</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Clothing washing</v>
      </c>
      <c r="K214" s="306"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Plaster (DIY) outdoor (discarded)</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Clothing washing machine (with external filter)</v>
      </c>
      <c r="K215" s="306"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Plaster (DIY) indoor (in use)</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stock</v>
      </c>
      <c r="N215" s="7"/>
      <c r="R215" t="str">
        <f t="shared" si="7"/>
        <v>OK</v>
      </c>
    </row>
    <row r="216" spans="10:27">
      <c r="J216" s="16" t="str">
        <v>Clothing washing machine (without external filter)</v>
      </c>
      <c r="K216" s="306" t="str">
        <f>IF(ISBLANK(J216),"",IF(COUNTIF(L:L,J216),IF(_xlfn.XLOOKUP(J216,'Compartments_Kawecki&amp;Nowack19'!A:A,'Compartments_Kawecki&amp;Nowack19'!B:B,_xlfn.XLOOKUP(J216,Compartments_Added!A:A,Compartments_Added!B:B))="Stock","OK stock","OK flow"),IF(COUNTIF($G$4:$G$18,J216),IF(COUNTIF($E$4:$E$18,J216),"OK input","Missing"),"Missing")))</f>
        <v>OK flow</v>
      </c>
      <c r="L216" t="str">
        <v>Plaster (DIY) indoor (discarded)</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stock</v>
      </c>
      <c r="N216" s="7"/>
      <c r="R216" t="str">
        <f t="shared" si="7"/>
        <v>OK</v>
      </c>
    </row>
    <row r="217" spans="10:27">
      <c r="J217" s="16" t="str">
        <v>Clothing washing by hand</v>
      </c>
      <c r="K217" s="306" t="str">
        <f>IF(ISBLANK(J217),"",IF(COUNTIF(L:L,J217),IF(_xlfn.XLOOKUP(J217,'Compartments_Kawecki&amp;Nowack19'!A:A,'Compartments_Kawecki&amp;Nowack19'!B:B,_xlfn.XLOOKUP(J217,Compartments_Added!A:A,Compartments_Added!B:B))="Stock","OK stock","OK flow"),IF(COUNTIF($G$4:$G$18,J217),IF(COUNTIF($E$4:$E$18,J217),"OK input","Missing"),"Missing")))</f>
        <v>OK flow</v>
      </c>
      <c r="L217" t="str">
        <v>Other paint uses (DIY) outdoor</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Clothing wearing</v>
      </c>
      <c r="K218" s="306"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Other paint uses (DIY) indoor</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flow</v>
      </c>
      <c r="N218" s="7"/>
      <c r="R218" t="str">
        <f t="shared" si="7"/>
        <v>OK</v>
      </c>
    </row>
    <row r="219" spans="10:27">
      <c r="J219" s="16" t="str">
        <v>Clothing drying</v>
      </c>
      <c r="K219" s="306"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Other paint uses (DIY) outdoor (in use)</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indoor drying</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Other paint uses (DIY) outdoor (discarded)</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Clothing outdoor drying</v>
      </c>
      <c r="K221" s="306"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Other paint uses (DIY) indoor (in use)</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Clothing drying VTD</v>
      </c>
      <c r="K222" s="306" t="str">
        <f>IF(ISBLANK(J222),"",IF(COUNTIF(L:L,J222),IF(_xlfn.XLOOKUP(J222,'Compartments_Kawecki&amp;Nowack19'!A:A,'Compartments_Kawecki&amp;Nowack19'!B:B,_xlfn.XLOOKUP(J222,Compartments_Added!A:A,Compartments_Added!B:B))="Stock","OK stock","OK flow"),IF(COUNTIF($G$4:$G$18,J222),IF(COUNTIF($E$4:$E$18,J222),"OK input","Missing"),"Missing")))</f>
        <v>OK flow</v>
      </c>
      <c r="L222" t="str">
        <v>Other paint uses (DIY) indoor (discarded)</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Clothing drying CHPTD</v>
      </c>
      <c r="K223" s="306" t="str">
        <f>IF(ISBLANK(J223),"",IF(COUNTIF(L:L,J223),IF(_xlfn.XLOOKUP(J223,'Compartments_Kawecki&amp;Nowack19'!A:A,'Compartments_Kawecki&amp;Nowack19'!B:B,_xlfn.XLOOKUP(J223,Compartments_Added!A:A,Compartments_Added!B:B))="Stock","OK stock","OK flow"),IF(COUNTIF($G$4:$G$18,J223),IF(COUNTIF($E$4:$E$18,J223),"OK input","Missing"),"Missing")))</f>
        <v>OK flow</v>
      </c>
      <c r="L223" t="str">
        <v>Clothing (product sector)</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Clothing drying CHETD</v>
      </c>
      <c r="K224" s="306" t="str">
        <f>IF(ISBLANK(J224),"",IF(COUNTIF(L:L,J224),IF(_xlfn.XLOOKUP(J224,'Compartments_Kawecki&amp;Nowack19'!A:A,'Compartments_Kawecki&amp;Nowack19'!B:B,_xlfn.XLOOKUP(J224,Compartments_Added!A:A,Compartments_Added!B:B))="Stock","OK stock","OK flow"),IF(COUNTIF($G$4:$G$18,J224),IF(COUNTIF($E$4:$E$18,J224),"OK input","Missing"),"Missing")))</f>
        <v>OK flow</v>
      </c>
      <c r="L224" t="str">
        <v>Apparel accessories</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Clothing washer-dryer combo</v>
      </c>
      <c r="K225" s="306" t="str">
        <f>IF(ISBLANK(J225),"",IF(COUNTIF(L:L,J225),IF(_xlfn.XLOOKUP(J225,'Compartments_Kawecki&amp;Nowack19'!A:A,'Compartments_Kawecki&amp;Nowack19'!B:B,_xlfn.XLOOKUP(J225,Compartments_Added!A:A,Compartments_Added!B:B))="Stock","OK stock","OK flow"),IF(COUNTIF($G$4:$G$18,J225),IF(COUNTIF($E$4:$E$18,J225),"OK input","Missing"),"Missing")))</f>
        <v>OK flow</v>
      </c>
      <c r="L225" t="str">
        <v>Boots</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Lint filter (VTD)</v>
      </c>
      <c r="K226" s="306" t="str">
        <f>IF(ISBLANK(J226),"",IF(COUNTIF(L:L,J226),IF(_xlfn.XLOOKUP(J226,'Compartments_Kawecki&amp;Nowack19'!A:A,'Compartments_Kawecki&amp;Nowack19'!B:B,_xlfn.XLOOKUP(J226,Compartments_Added!A:A,Compartments_Added!B:B))="Stock","OK stock","OK flow"),IF(COUNTIF($G$4:$G$18,J226),IF(COUNTIF($E$4:$E$18,J226),"OK input","Missing"),"Missing")))</f>
        <v>OK flow</v>
      </c>
      <c r="L226" t="str">
        <v>Closed-toed shoes</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J227" s="16" t="str">
        <v>Lint filter (CHPTD)</v>
      </c>
      <c r="K227" s="306" t="str">
        <f>IF(ISBLANK(J227),"",IF(COUNTIF(L:L,J227),IF(_xlfn.XLOOKUP(J227,'Compartments_Kawecki&amp;Nowack19'!A:A,'Compartments_Kawecki&amp;Nowack19'!B:B,_xlfn.XLOOKUP(J227,Compartments_Added!A:A,Compartments_Added!B:B))="Stock","OK stock","OK flow"),IF(COUNTIF($G$4:$G$18,J227),IF(COUNTIF($E$4:$E$18,J227),"OK input","Missing"),"Missing")))</f>
        <v>OK flow</v>
      </c>
      <c r="L227" t="str">
        <v>Dresses skirts and jumpsuits</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Lint filter (CHETD)</v>
      </c>
      <c r="K228" s="306" t="str">
        <f>IF(ISBLANK(J228),"",IF(COUNTIF(L:L,J228),IF(_xlfn.XLOOKUP(J228,'Compartments_Kawecki&amp;Nowack19'!A:A,'Compartments_Kawecki&amp;Nowack19'!B:B,_xlfn.XLOOKUP(J228,Compartments_Added!A:A,Compartments_Added!B:B))="Stock","OK stock","OK flow"),IF(COUNTIF($G$4:$G$18,J228),IF(COUNTIF($E$4:$E$18,J228),"OK input","Missing"),"Missing")))</f>
        <v>OK flow</v>
      </c>
      <c r="L228" t="str">
        <v>Jackets and coats</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J229" s="16" t="str">
        <v>Clean lint filter by hand</v>
      </c>
      <c r="K229" s="306" t="str">
        <f>IF(ISBLANK(J229),"",IF(COUNTIF(L:L,J229),IF(_xlfn.XLOOKUP(J229,'Compartments_Kawecki&amp;Nowack19'!A:A,'Compartments_Kawecki&amp;Nowack19'!B:B,_xlfn.XLOOKUP(J229,Compartments_Added!A:A,Compartments_Added!B:B))="Stock","OK stock","OK flow"),IF(COUNTIF($G$4:$G$18,J229),IF(COUNTIF($E$4:$E$18,J229),"OK input","Missing"),"Missing")))</f>
        <v>OK flow</v>
      </c>
      <c r="L229" t="str">
        <v>Leggings stockings tights and socks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Clean lint filter under running water</v>
      </c>
      <c r="K230" s="306" t="str">
        <f>IF(ISBLANK(J230),"",IF(COUNTIF(L:L,J230),IF(_xlfn.XLOOKUP(J230,'Compartments_Kawecki&amp;Nowack19'!A:A,'Compartments_Kawecki&amp;Nowack19'!B:B,_xlfn.XLOOKUP(J230,Compartments_Added!A:A,Compartments_Added!B:B))="Stock","OK stock","OK flow"),IF(COUNTIF($G$4:$G$18,J230),IF(COUNTIF($E$4:$E$18,J230),"OK input","Missing"),"Missing")))</f>
        <v>OK flow</v>
      </c>
      <c r="L230" t="str">
        <v>Open-toed shoes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Footwear wearing (soles)</v>
      </c>
      <c r="K231" s="306" t="str">
        <f>IF(ISBLANK(J231),"",IF(COUNTIF(L:L,J231),IF(_xlfn.XLOOKUP(J231,'Compartments_Kawecki&amp;Nowack19'!A:A,'Compartments_Kawecki&amp;Nowack19'!B:B,_xlfn.XLOOKUP(J231,Compartments_Added!A:A,Compartments_Added!B:B))="Stock","OK stock","OK flow"),IF(COUNTIF($G$4:$G$18,J231),IF(COUNTIF($E$4:$E$18,J231),"OK input","Missing"),"Missing")))</f>
        <v>OK flow</v>
      </c>
      <c r="L231" t="str">
        <v>Pants and shorts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Footwear wearing (uppers)</v>
      </c>
      <c r="K232" s="306" t="str">
        <f>IF(ISBLANK(J232),"",IF(COUNTIF(L:L,J232),IF(_xlfn.XLOOKUP(J232,'Compartments_Kawecki&amp;Nowack19'!A:A,'Compartments_Kawecki&amp;Nowack19'!B:B,_xlfn.XLOOKUP(J232,Compartments_Added!A:A,Compartments_Added!B:B))="Stock","OK stock","OK flow"),IF(COUNTIF($G$4:$G$18,J232),IF(COUNTIF($E$4:$E$18,J232),"OK input","Missing"),"Missing")))</f>
        <v>OK flow</v>
      </c>
      <c r="L232" t="str">
        <v>Shirts and blouses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Import of clothing (Global)</v>
      </c>
      <c r="K233" s="306" t="str">
        <f>IF(ISBLANK(J233),"",IF(COUNTIF(L:L,J233),IF(_xlfn.XLOOKUP(J233,'Compartments_Kawecki&amp;Nowack19'!A:A,'Compartments_Kawecki&amp;Nowack19'!B:B,_xlfn.XLOOKUP(J233,Compartments_Added!A:A,Compartments_Added!B:B))="Stock","OK stock","OK flow"),IF(COUNTIF($G$4:$G$18,J233),IF(COUNTIF($E$4:$E$18,J233),"OK input","Missing"),"Missing")))</f>
        <v>OK input</v>
      </c>
      <c r="L233" t="str">
        <v>Sweaters and midlayers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Manufacturing of clothing</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Swimwear</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Import of plastic sheets</v>
      </c>
      <c r="K235" s="306" t="str">
        <f>IF(ISBLANK(J235),"",IF(COUNTIF(L:L,J235),IF(_xlfn.XLOOKUP(J235,'Compartments_Kawecki&amp;Nowack19'!A:A,'Compartments_Kawecki&amp;Nowack19'!B:B,_xlfn.XLOOKUP(J235,Compartments_Added!A:A,Compartments_Added!B:B))="Stock","OK stock","OK flow"),IF(COUNTIF($G$4:$G$18,J235),IF(COUNTIF($E$4:$E$18,J235),"OK input","Missing"),"Missing")))</f>
        <v>Missing</v>
      </c>
      <c r="L235" t="str">
        <v>T-shirts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Import of yarn</v>
      </c>
      <c r="K236" s="306" t="str">
        <f>IF(ISBLANK(J236),"",IF(COUNTIF(L:L,J236),IF(_xlfn.XLOOKUP(J236,'Compartments_Kawecki&amp;Nowack19'!A:A,'Compartments_Kawecki&amp;Nowack19'!B:B,_xlfn.XLOOKUP(J236,Compartments_Added!A:A,Compartments_Added!B:B))="Stock","OK stock","OK flow"),IF(COUNTIF($G$4:$G$18,J236),IF(COUNTIF($E$4:$E$18,J236),"OK input","Missing"),"Missing")))</f>
        <v>Missing</v>
      </c>
      <c r="L236" t="str">
        <v>Underwear</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Clothing waste collection</v>
      </c>
      <c r="K237" s="306"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Clothing washing machine (with external filter)</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flow</v>
      </c>
    </row>
    <row r="238" spans="10:18">
      <c r="J238" s="16" t="str">
        <v>Home textile waste collection</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Clothing washing machine (without external filter)</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flow</v>
      </c>
    </row>
    <row r="239" spans="10:18">
      <c r="J239" s="16" t="str">
        <v>Technical textile waste collection</v>
      </c>
      <c r="K239" s="306" t="str">
        <f>IF(ISBLANK(J239),"",IF(COUNTIF(L:L,J239),IF(_xlfn.XLOOKUP(J239,'Compartments_Kawecki&amp;Nowack19'!A:A,'Compartments_Kawecki&amp;Nowack19'!B:B,_xlfn.XLOOKUP(J239,Compartments_Added!A:A,Compartments_Added!B:B))="Stock","OK stock","OK flow"),IF(COUNTIF($G$4:$G$18,J239),IF(COUNTIF($E$4:$E$18,J239),"OK input","Missing"),"Missing")))</f>
        <v>OK flow</v>
      </c>
      <c r="L239" t="str">
        <v>Clothing washing by hand</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flow</v>
      </c>
    </row>
    <row r="240" spans="10:18">
      <c r="J240" s="16" t="str">
        <v>Footwear waste collection</v>
      </c>
      <c r="K240" s="306" t="str">
        <f>IF(ISBLANK(J240),"",IF(COUNTIF(L:L,J240),IF(_xlfn.XLOOKUP(J240,'Compartments_Kawecki&amp;Nowack19'!A:A,'Compartments_Kawecki&amp;Nowack19'!B:B,_xlfn.XLOOKUP(J240,Compartments_Added!A:A,Compartments_Added!B:B))="Stock","OK stock","OK flow"),IF(COUNTIF($G$4:$G$18,J240),IF(COUNTIF($E$4:$E$18,J240),"OK input","Missing"),"Missing")))</f>
        <v>OK flow</v>
      </c>
      <c r="L240" t="str">
        <v>Clothing indoor drying</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flow</v>
      </c>
    </row>
    <row r="241" spans="10:13">
      <c r="J241" s="16" t="str">
        <v>Apparel accessories</v>
      </c>
      <c r="K241" s="306" t="str">
        <f>IF(ISBLANK(J241),"",IF(COUNTIF(L:L,J241),IF(_xlfn.XLOOKUP(J241,'Compartments_Kawecki&amp;Nowack19'!A:A,'Compartments_Kawecki&amp;Nowack19'!B:B,_xlfn.XLOOKUP(J241,Compartments_Added!A:A,Compartments_Added!B:B))="Stock","OK stock","OK flow"),IF(COUNTIF($G$4:$G$18,J241),IF(COUNTIF($E$4:$E$18,J241),"OK input","Missing"),"Missing")))</f>
        <v>OK stock</v>
      </c>
      <c r="L241" t="str">
        <v>Clothing outdoor drying</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flow</v>
      </c>
    </row>
    <row r="242" spans="10:13">
      <c r="J242" s="16" t="str">
        <v>Jackets and coats</v>
      </c>
      <c r="K242" s="306" t="str">
        <f>IF(ISBLANK(J242),"",IF(COUNTIF(L:L,J242),IF(_xlfn.XLOOKUP(J242,'Compartments_Kawecki&amp;Nowack19'!A:A,'Compartments_Kawecki&amp;Nowack19'!B:B,_xlfn.XLOOKUP(J242,Compartments_Added!A:A,Compartments_Added!B:B))="Stock","OK stock","OK flow"),IF(COUNTIF($G$4:$G$18,J242),IF(COUNTIF($E$4:$E$18,J242),"OK input","Missing"),"Missing")))</f>
        <v>OK stock</v>
      </c>
      <c r="L242" t="str">
        <v>Clothing drying VTD</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Dresses skirts and jumpsuits</v>
      </c>
      <c r="K243" s="306" t="str">
        <f>IF(ISBLANK(J243),"",IF(COUNTIF(L:L,J243),IF(_xlfn.XLOOKUP(J243,'Compartments_Kawecki&amp;Nowack19'!A:A,'Compartments_Kawecki&amp;Nowack19'!B:B,_xlfn.XLOOKUP(J243,Compartments_Added!A:A,Compartments_Added!B:B))="Stock","OK stock","OK flow"),IF(COUNTIF($G$4:$G$18,J243),IF(COUNTIF($E$4:$E$18,J243),"OK input","Missing"),"Missing")))</f>
        <v>OK stock</v>
      </c>
      <c r="L243" t="str">
        <v>Clothing drying CHPTD</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Leggings stockings tights and socks</v>
      </c>
      <c r="K244" s="306" t="str">
        <f>IF(ISBLANK(J244),"",IF(COUNTIF(L:L,J244),IF(_xlfn.XLOOKUP(J244,'Compartments_Kawecki&amp;Nowack19'!A:A,'Compartments_Kawecki&amp;Nowack19'!B:B,_xlfn.XLOOKUP(J244,Compartments_Added!A:A,Compartments_Added!B:B))="Stock","OK stock","OK flow"),IF(COUNTIF($G$4:$G$18,J244),IF(COUNTIF($E$4:$E$18,J244),"OK input","Missing"),"Missing")))</f>
        <v>OK stock</v>
      </c>
      <c r="L244" t="str">
        <v>Clothing drying CHETD</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Pants and shorts</v>
      </c>
      <c r="K245" s="306" t="str">
        <f>IF(ISBLANK(J245),"",IF(COUNTIF(L:L,J245),IF(_xlfn.XLOOKUP(J245,'Compartments_Kawecki&amp;Nowack19'!A:A,'Compartments_Kawecki&amp;Nowack19'!B:B,_xlfn.XLOOKUP(J245,Compartments_Added!A:A,Compartments_Added!B:B))="Stock","OK stock","OK flow"),IF(COUNTIF($G$4:$G$18,J245),IF(COUNTIF($E$4:$E$18,J245),"OK input","Missing"),"Missing")))</f>
        <v>OK stock</v>
      </c>
      <c r="L245" t="str">
        <v>Clothing washer-dryer combo</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Shirts and blouses</v>
      </c>
      <c r="K246" s="306" t="str">
        <f>IF(ISBLANK(J246),"",IF(COUNTIF(L:L,J246),IF(_xlfn.XLOOKUP(J246,'Compartments_Kawecki&amp;Nowack19'!A:A,'Compartments_Kawecki&amp;Nowack19'!B:B,_xlfn.XLOOKUP(J246,Compartments_Added!A:A,Compartments_Added!B:B))="Stock","OK stock","OK flow"),IF(COUNTIF($G$4:$G$18,J246),IF(COUNTIF($E$4:$E$18,J246),"OK input","Missing"),"Missing")))</f>
        <v>OK stock</v>
      </c>
      <c r="L246" t="str">
        <v>Lint filter (VTD)</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Sweaters and midlayers</v>
      </c>
      <c r="K247" s="306" t="str">
        <f>IF(ISBLANK(J247),"",IF(COUNTIF(L:L,J247),IF(_xlfn.XLOOKUP(J247,'Compartments_Kawecki&amp;Nowack19'!A:A,'Compartments_Kawecki&amp;Nowack19'!B:B,_xlfn.XLOOKUP(J247,Compartments_Added!A:A,Compartments_Added!B:B))="Stock","OK stock","OK flow"),IF(COUNTIF($G$4:$G$18,J247),IF(COUNTIF($E$4:$E$18,J247),"OK input","Missing"),"Missing")))</f>
        <v>OK stock</v>
      </c>
      <c r="L247" t="str">
        <v>Lint filter (CHPTD)</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Swimwear</v>
      </c>
      <c r="K248" s="306" t="str">
        <f>IF(ISBLANK(J248),"",IF(COUNTIF(L:L,J248),IF(_xlfn.XLOOKUP(J248,'Compartments_Kawecki&amp;Nowack19'!A:A,'Compartments_Kawecki&amp;Nowack19'!B:B,_xlfn.XLOOKUP(J248,Compartments_Added!A:A,Compartments_Added!B:B))="Stock","OK stock","OK flow"),IF(COUNTIF($G$4:$G$18,J248),IF(COUNTIF($E$4:$E$18,J248),"OK input","Missing"),"Missing")))</f>
        <v>OK stock</v>
      </c>
      <c r="L248" t="str">
        <v>Lint filter (CHETD)</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T-shirts</v>
      </c>
      <c r="K249" s="306" t="str">
        <f>IF(ISBLANK(J249),"",IF(COUNTIF(L:L,J249),IF(_xlfn.XLOOKUP(J249,'Compartments_Kawecki&amp;Nowack19'!A:A,'Compartments_Kawecki&amp;Nowack19'!B:B,_xlfn.XLOOKUP(J249,Compartments_Added!A:A,Compartments_Added!B:B))="Stock","OK stock","OK flow"),IF(COUNTIF($G$4:$G$18,J249),IF(COUNTIF($E$4:$E$18,J249),"OK input","Missing"),"Missing")))</f>
        <v>OK stock</v>
      </c>
      <c r="L249" t="str">
        <v>Clean lint filter by hand</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Underwear</v>
      </c>
      <c r="K250" s="306" t="str">
        <f>IF(ISBLANK(J250),"",IF(COUNTIF(L:L,J250),IF(_xlfn.XLOOKUP(J250,'Compartments_Kawecki&amp;Nowack19'!A:A,'Compartments_Kawecki&amp;Nowack19'!B:B,_xlfn.XLOOKUP(J250,Compartments_Added!A:A,Compartments_Added!B:B))="Stock","OK stock","OK flow"),IF(COUNTIF($G$4:$G$18,J250),IF(COUNTIF($E$4:$E$18,J250),"OK input","Missing"),"Missing")))</f>
        <v>OK stock</v>
      </c>
      <c r="L250" t="str">
        <v>Clean lint filter under running water</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Clothing washed (in use)</v>
      </c>
      <c r="K251" s="306"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Manufacturing of clothing</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Clothing washed (discarded)</v>
      </c>
      <c r="K252" s="306"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Textile recycling</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Clothing rarely washed (in use)</v>
      </c>
      <c r="K253" s="306" t="str">
        <f>IF(ISBLANK(J253),"",IF(COUNTIF(L:L,J253),IF(_xlfn.XLOOKUP(J253,'Compartments_Kawecki&amp;Nowack19'!A:A,'Compartments_Kawecki&amp;Nowack19'!B:B,_xlfn.XLOOKUP(J253,Compartments_Added!A:A,Compartments_Added!B:B))="Stock","OK stock","OK flow"),IF(COUNTIF($G$4:$G$18,J253),IF(COUNTIF($E$4:$E$18,J253),"OK input","Missing"),"Missing")))</f>
        <v>OK flow</v>
      </c>
      <c r="L253" t="str">
        <v>Home textile waste collection</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Clothing rarely washed (discarded)</v>
      </c>
      <c r="K254" s="306"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Technical textile waste collection</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Clothing not washed (in use)</v>
      </c>
      <c r="K255" s="306" t="str">
        <f>IF(ISBLANK(J255),"",IF(COUNTIF(L:L,J255),IF(_xlfn.XLOOKUP(J255,'Compartments_Kawecki&amp;Nowack19'!A:A,'Compartments_Kawecki&amp;Nowack19'!B:B,_xlfn.XLOOKUP(J255,Compartments_Added!A:A,Compartments_Added!B:B))="Stock","OK stock","OK flow"),IF(COUNTIF($G$4:$G$18,J255),IF(COUNTIF($E$4:$E$18,J255),"OK input","Missing"),"Missing")))</f>
        <v>OK flow</v>
      </c>
      <c r="L255" t="str">
        <v>Textile reuse</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Sink</v>
      </c>
    </row>
    <row r="256" spans="10:13">
      <c r="J256" s="16" t="str">
        <v>Clothing not washed (discarded)</v>
      </c>
      <c r="K256" s="306" t="str">
        <f>IF(ISBLANK(J256),"",IF(COUNTIF(L:L,J256),IF(_xlfn.XLOOKUP(J256,'Compartments_Kawecki&amp;Nowack19'!A:A,'Compartments_Kawecki&amp;Nowack19'!B:B,_xlfn.XLOOKUP(J256,Compartments_Added!A:A,Compartments_Added!B:B))="Stock","OK stock","OK flow"),IF(COUNTIF($G$4:$G$18,J256),IF(COUNTIF($E$4:$E$18,J256),"OK input","Missing"),"Missing")))</f>
        <v>OK flow</v>
      </c>
      <c r="L256" t="str">
        <v>Footwear reuse</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Sink</v>
      </c>
    </row>
    <row r="257" spans="10:13">
      <c r="J257" s="16" t="str">
        <v>Boots</v>
      </c>
      <c r="K257" s="306" t="str">
        <f>IF(ISBLANK(J257),"",IF(COUNTIF(L:L,J257),IF(_xlfn.XLOOKUP(J257,'Compartments_Kawecki&amp;Nowack19'!A:A,'Compartments_Kawecki&amp;Nowack19'!B:B,_xlfn.XLOOKUP(J257,Compartments_Added!A:A,Compartments_Added!B:B))="Stock","OK stock","OK flow"),IF(COUNTIF($G$4:$G$18,J257),IF(COUNTIF($E$4:$E$18,J257),"OK input","Missing"),"Missing")))</f>
        <v>OK stock</v>
      </c>
      <c r="L257" t="str">
        <v>Clothing not washed (in use)</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Closed-toed shoes</v>
      </c>
      <c r="K258" s="306" t="str">
        <f>IF(ISBLANK(J258),"",IF(COUNTIF(L:L,J258),IF(_xlfn.XLOOKUP(J258,'Compartments_Kawecki&amp;Nowack19'!A:A,'Compartments_Kawecki&amp;Nowack19'!B:B,_xlfn.XLOOKUP(J258,Compartments_Added!A:A,Compartments_Added!B:B))="Stock","OK stock","OK flow"),IF(COUNTIF($G$4:$G$18,J258),IF(COUNTIF($E$4:$E$18,J258),"OK input","Missing"),"Missing")))</f>
        <v>OK stock</v>
      </c>
      <c r="L258" t="str">
        <v>Clothing not washed (discarded)</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Open-toed shoes</v>
      </c>
      <c r="K259" s="306" t="str">
        <f>IF(ISBLANK(J259),"",IF(COUNTIF(L:L,J259),IF(_xlfn.XLOOKUP(J259,'Compartments_Kawecki&amp;Nowack19'!A:A,'Compartments_Kawecki&amp;Nowack19'!B:B,_xlfn.XLOOKUP(J259,Compartments_Added!A:A,Compartments_Added!B:B))="Stock","OK stock","OK flow"),IF(COUNTIF($G$4:$G$18,J259),IF(COUNTIF($E$4:$E$18,J259),"OK input","Missing"),"Missing")))</f>
        <v>OK stock</v>
      </c>
      <c r="L259" t="str">
        <v>Clothing rarely washed (in use)</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Wastewater (micro)</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Clothing rarely washed (discarded)</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t="str">
        <v>Primary water treatment (micro)</v>
      </c>
      <c r="K261" s="306" t="str">
        <f>IF(ISBLANK(J261),"",IF(COUNTIF(L:L,J261),IF(_xlfn.XLOOKUP(J261,'Compartments_Kawecki&amp;Nowack19'!A:A,'Compartments_Kawecki&amp;Nowack19'!B:B,_xlfn.XLOOKUP(J261,Compartments_Added!A:A,Compartments_Added!B:B))="Stock","OK stock","OK flow"),IF(COUNTIF($G$4:$G$18,J261),IF(COUNTIF($E$4:$E$18,J261),"OK input","Missing"),"Missing")))</f>
        <v>OK flow</v>
      </c>
      <c r="L261" t="str">
        <v>Clothing washed (in use)</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J262" s="16" t="str">
        <v>Secondary water treatment (micro)</v>
      </c>
      <c r="K262" s="306" t="str">
        <f>IF(ISBLANK(J262),"",IF(COUNTIF(L:L,J262),IF(_xlfn.XLOOKUP(J262,'Compartments_Kawecki&amp;Nowack19'!A:A,'Compartments_Kawecki&amp;Nowack19'!B:B,_xlfn.XLOOKUP(J262,Compartments_Added!A:A,Compartments_Added!B:B))="Stock","OK stock","OK flow"),IF(COUNTIF($G$4:$G$18,J262),IF(COUNTIF($E$4:$E$18,J262),"OK input","Missing"),"Missing")))</f>
        <v>OK flow</v>
      </c>
      <c r="L262" t="str">
        <v>Clothing washed (discarded)</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J263" s="16" t="str">
        <v>Tertiary water treatment (micro)</v>
      </c>
      <c r="K263" s="306" t="str">
        <f>IF(ISBLANK(J263),"",IF(COUNTIF(L:L,J263),IF(_xlfn.XLOOKUP(J263,'Compartments_Kawecki&amp;Nowack19'!A:A,'Compartments_Kawecki&amp;Nowack19'!B:B,_xlfn.XLOOKUP(J263,Compartments_Added!A:A,Compartments_Added!B:B))="Stock","OK stock","OK flow"),IF(COUNTIF($G$4:$G$18,J263),IF(COUNTIF($E$4:$E$18,J263),"OK input","Missing"),"Missing")))</f>
        <v>OK flow</v>
      </c>
      <c r="L263" t="str">
        <v>Clothing wearing</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J264" s="16" t="str">
        <v>Primary water treatment (macro)</v>
      </c>
      <c r="K264" s="306" t="str">
        <f>IF(ISBLANK(J264),"",IF(COUNTIF(L:L,J264),IF(_xlfn.XLOOKUP(J264,'Compartments_Kawecki&amp;Nowack19'!A:A,'Compartments_Kawecki&amp;Nowack19'!B:B,_xlfn.XLOOKUP(J264,Compartments_Added!A:A,Compartments_Added!B:B))="Stock","OK stock","OK flow"),IF(COUNTIF($G$4:$G$18,J264),IF(COUNTIF($E$4:$E$18,J264),"OK input","Missing"),"Missing")))</f>
        <v>OK flow</v>
      </c>
      <c r="L264" t="str">
        <v>Clothing washing</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J265" s="16" t="str">
        <v>Secondary water treatment (macro)</v>
      </c>
      <c r="K265" s="306" t="str">
        <f>IF(ISBLANK(J265),"",IF(COUNTIF(L:L,J265),IF(_xlfn.XLOOKUP(J265,'Compartments_Kawecki&amp;Nowack19'!A:A,'Compartments_Kawecki&amp;Nowack19'!B:B,_xlfn.XLOOKUP(J265,Compartments_Added!A:A,Compartments_Added!B:B))="Stock","OK stock","OK flow"),IF(COUNTIF($G$4:$G$18,J265),IF(COUNTIF($E$4:$E$18,J265),"OK input","Missing"),"Missing")))</f>
        <v>OK flow</v>
      </c>
      <c r="L265" t="str">
        <v>Clothing drying</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J266" s="16" t="str">
        <v>Tertiary water treatment (macro)</v>
      </c>
      <c r="K266" s="306" t="str">
        <f>IF(ISBLANK(J266),"",IF(COUNTIF(L:L,J266),IF(_xlfn.XLOOKUP(J266,'Compartments_Kawecki&amp;Nowack19'!A:A,'Compartments_Kawecki&amp;Nowack19'!B:B,_xlfn.XLOOKUP(J266,Compartments_Added!A:A,Compartments_Added!B:B))="Stock","OK stock","OK flow"),IF(COUNTIF($G$4:$G$18,J266),IF(COUNTIF($E$4:$E$18,J266),"OK input","Missing"),"Missing")))</f>
        <v>OK flow</v>
      </c>
      <c r="L266" t="str">
        <v>Clothing waste collection</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J267" s="16">
        <v>0</v>
      </c>
      <c r="K267" s="306" t="e">
        <f>IF(ISBLANK(J267),"",IF(COUNTIF(L:L,J267),IF(_xlfn.XLOOKUP(J267,'Compartments_Kawecki&amp;Nowack19'!A:A,'Compartments_Kawecki&amp;Nowack19'!B:B,_xlfn.XLOOKUP(J267,Compartments_Added!A:A,Compartments_Added!B:B))="Stock","OK stock","OK flow"),IF(COUNTIF($G$4:$G$18,J267),IF(COUNTIF($E$4:$E$18,J267),"OK input","Missing"),"Missing")))</f>
        <v>#N/A</v>
      </c>
      <c r="L267" t="str">
        <v>Footwear waste collection</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flow</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Footwear wearing (soles)</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OK flow</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t="str">
        <v>Footwear wearing (uppers)</v>
      </c>
      <c r="M269" s="306" t="str">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OK flow</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L270" t="str">
        <v>On-site sewage facility (micro)</v>
      </c>
      <c r="M270" s="306" t="str">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OK flow</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L271" t="str">
        <v>Secondary water treatment (micro)</v>
      </c>
      <c r="M271" s="306" t="str">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OK flow</v>
      </c>
    </row>
    <row r="272" spans="10:13">
      <c r="L272" t="str">
        <v>Tertiary water treatment (micro)</v>
      </c>
      <c r="M272" s="306" t="str">
        <f>IF(COUNTIF(J:J,L272),IF(_xlfn.XLOOKUP(L272,'Compartments_Kawecki&amp;Nowack19'!A:A,'Compartments_Kawecki&amp;Nowack19'!B:B,_xlfn.XLOOKUP(L272,Compartments_Added!A:A,Compartments_Added!B:B))="Stock","OK stock","OK flow"),IF(_xlfn.XLOOKUP(L272,'Compartments_Kawecki&amp;Nowack19'!A:A,'Compartments_Kawecki&amp;Nowack19'!B:B,_xlfn.XLOOKUP(L272,Compartments_Added!A:A,Compartments_Added!B:B))="Sink","OK, Sink","Missing"))</f>
        <v>OK flow</v>
      </c>
    </row>
    <row r="273" spans="12:13">
      <c r="L273" t="str">
        <v>Secondary water treatment (macro)</v>
      </c>
      <c r="M273" s="306" t="str">
        <f>IF(COUNTIF(J:J,L273),IF(_xlfn.XLOOKUP(L273,'Compartments_Kawecki&amp;Nowack19'!A:A,'Compartments_Kawecki&amp;Nowack19'!B:B,_xlfn.XLOOKUP(L273,Compartments_Added!A:A,Compartments_Added!B:B))="Stock","OK stock","OK flow"),IF(_xlfn.XLOOKUP(L273,'Compartments_Kawecki&amp;Nowack19'!A:A,'Compartments_Kawecki&amp;Nowack19'!B:B,_xlfn.XLOOKUP(L273,Compartments_Added!A:A,Compartments_Added!B:B))="Sink","OK, Sink","Missing"))</f>
        <v>OK flow</v>
      </c>
    </row>
    <row r="274" spans="12:13">
      <c r="L274" t="str">
        <v>Tertiary water treatment (macro)</v>
      </c>
      <c r="M274" s="306" t="str">
        <f>IF(COUNTIF(J:J,L274),IF(_xlfn.XLOOKUP(L274,'Compartments_Kawecki&amp;Nowack19'!A:A,'Compartments_Kawecki&amp;Nowack19'!B:B,_xlfn.XLOOKUP(L274,Compartments_Added!A:A,Compartments_Added!B:B))="Stock","OK stock","OK flow"),IF(_xlfn.XLOOKUP(L274,'Compartments_Kawecki&amp;Nowack19'!A:A,'Compartments_Kawecki&amp;Nowack19'!B:B,_xlfn.XLOOKUP(L274,Compartments_Added!A:A,Compartments_Added!B:B))="Sink","OK, Sink","Missing"))</f>
        <v>OK flow</v>
      </c>
    </row>
    <row r="275" spans="12:13">
      <c r="L275">
        <v>0</v>
      </c>
    </row>
  </sheetData>
  <mergeCells count="3">
    <mergeCell ref="A1:C1"/>
    <mergeCell ref="E1:H1"/>
    <mergeCell ref="J1:M1"/>
  </mergeCells>
  <conditionalFormatting sqref="K4:K271">
    <cfRule type="containsText" dxfId="12" priority="4" operator="containsText" text="Stock">
      <formula>NOT(ISERROR(SEARCH("Stock",K4)))</formula>
    </cfRule>
    <cfRule type="containsText" dxfId="11" priority="5" operator="containsText" text="Sink">
      <formula>NOT(ISERROR(SEARCH("Sink",K4)))</formula>
    </cfRule>
    <cfRule type="containsText" dxfId="10" priority="6" operator="containsText" text="flow">
      <formula>NOT(ISERROR(SEARCH("flow",K4)))</formula>
    </cfRule>
    <cfRule type="containsText" dxfId="9" priority="7" operator="containsText" text="missing">
      <formula>NOT(ISERROR(SEARCH("missing",K4)))</formula>
    </cfRule>
    <cfRule type="containsErrors" dxfId="8" priority="10">
      <formula>ISERROR(K4)</formula>
    </cfRule>
  </conditionalFormatting>
  <conditionalFormatting sqref="M1:M1048576">
    <cfRule type="containsText" dxfId="7" priority="8" operator="containsText" text="Stock">
      <formula>NOT(ISERROR(SEARCH("Stock",M1)))</formula>
    </cfRule>
    <cfRule type="containsText" dxfId="6" priority="9" operator="containsText" text="Sink">
      <formula>NOT(ISERROR(SEARCH("Sink",M1)))</formula>
    </cfRule>
    <cfRule type="containsText" dxfId="5" priority="11" operator="containsText" text="flow">
      <formula>NOT(ISERROR(SEARCH("flow",M1)))</formula>
    </cfRule>
    <cfRule type="containsText" dxfId="4" priority="11" operator="containsText" text="missing">
      <formula>NOT(ISERROR(SEARCH("missing",M1)))</formula>
    </cfRule>
    <cfRule type="containsErrors" dxfId="3" priority="11">
      <formula>ISERROR(M1)</formula>
    </cfRule>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workbookViewId="0">
      <selection activeCell="E2" sqref="E2"/>
    </sheetView>
  </sheetViews>
  <sheetFormatPr defaultRowHeight="14.4"/>
  <cols>
    <col min="1" max="1" width="21.88671875" bestFit="1" customWidth="1"/>
    <col min="2" max="2" width="11.109375" customWidth="1"/>
    <col min="12" max="12" width="10.554687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2255</v>
      </c>
      <c r="B2">
        <f>Clothing!B197</f>
        <v>2011</v>
      </c>
      <c r="C2" t="str">
        <f>Clothing!C197</f>
        <v>Acryl</v>
      </c>
      <c r="D2" s="217">
        <f>Clothing!F197</f>
        <v>178.95826989854004</v>
      </c>
    </row>
    <row r="3" spans="1:12">
      <c r="A3" t="s">
        <v>2255</v>
      </c>
      <c r="B3">
        <f>Clothing!B198</f>
        <v>2011</v>
      </c>
      <c r="C3" t="str">
        <f>Clothing!C198</f>
        <v>OTHER</v>
      </c>
      <c r="D3" s="217">
        <f>Clothing!F198</f>
        <v>328.79968810535007</v>
      </c>
    </row>
    <row r="4" spans="1:12">
      <c r="A4" t="s">
        <v>2255</v>
      </c>
      <c r="B4">
        <f>Clothing!B199</f>
        <v>2011</v>
      </c>
      <c r="C4" t="str">
        <f>Clothing!C199</f>
        <v>PA</v>
      </c>
      <c r="D4" s="217">
        <f>Clothing!F199</f>
        <v>398.04206471381008</v>
      </c>
    </row>
    <row r="5" spans="1:12">
      <c r="A5" t="s">
        <v>2255</v>
      </c>
      <c r="B5">
        <f>Clothing!B200</f>
        <v>2011</v>
      </c>
      <c r="C5" t="str">
        <f>Clothing!C200</f>
        <v>PET</v>
      </c>
      <c r="D5" s="217">
        <f>Clothing!F200</f>
        <v>1799.8796967041003</v>
      </c>
    </row>
    <row r="6" spans="1:12">
      <c r="A6" t="s">
        <v>2255</v>
      </c>
      <c r="B6">
        <f>Clothing!B201</f>
        <v>2011</v>
      </c>
      <c r="C6" t="str">
        <f>Clothing!C201</f>
        <v>PUR</v>
      </c>
      <c r="D6" s="217">
        <f>Clothing!F201</f>
        <v>223.88644531913005</v>
      </c>
    </row>
    <row r="7" spans="1:12">
      <c r="A7" t="s">
        <v>2255</v>
      </c>
      <c r="B7">
        <f>Clothing!B202</f>
        <v>2011</v>
      </c>
      <c r="C7" t="str">
        <f>Clothing!C202</f>
        <v>PVC</v>
      </c>
      <c r="D7" s="217">
        <f>Clothing!F202</f>
        <v>144.78697548150001</v>
      </c>
    </row>
    <row r="8" spans="1:12">
      <c r="A8" t="s">
        <v>2255</v>
      </c>
      <c r="B8">
        <f>Clothing!B203</f>
        <v>2011</v>
      </c>
      <c r="C8" t="str">
        <f>Clothing!C203</f>
        <v>RUBBER</v>
      </c>
      <c r="D8" s="217">
        <f>Clothing!F203</f>
        <v>306.43011359323003</v>
      </c>
    </row>
    <row r="9" spans="1:12">
      <c r="A9" t="s">
        <v>2255</v>
      </c>
      <c r="B9">
        <f>Clothing!B204</f>
        <v>2012</v>
      </c>
      <c r="C9" t="str">
        <f>Clothing!C204</f>
        <v>Acryl</v>
      </c>
      <c r="D9" s="217">
        <f>Clothing!F204</f>
        <v>136.49129634547</v>
      </c>
    </row>
    <row r="10" spans="1:12">
      <c r="A10" t="s">
        <v>2255</v>
      </c>
      <c r="B10">
        <f>Clothing!B205</f>
        <v>2012</v>
      </c>
      <c r="C10" t="str">
        <f>Clothing!C205</f>
        <v>OTHER</v>
      </c>
      <c r="D10" s="217">
        <f>Clothing!F205</f>
        <v>267.46883548198002</v>
      </c>
    </row>
    <row r="11" spans="1:12">
      <c r="A11" t="s">
        <v>2255</v>
      </c>
      <c r="B11">
        <f>Clothing!B206</f>
        <v>2012</v>
      </c>
      <c r="C11" t="str">
        <f>Clothing!C206</f>
        <v>PA</v>
      </c>
      <c r="D11" s="217">
        <f>Clothing!F206</f>
        <v>294.84091747033006</v>
      </c>
    </row>
    <row r="12" spans="1:12">
      <c r="A12" t="s">
        <v>2255</v>
      </c>
      <c r="B12">
        <f>Clothing!B207</f>
        <v>2012</v>
      </c>
      <c r="C12" t="str">
        <f>Clothing!C207</f>
        <v>PET</v>
      </c>
      <c r="D12" s="217">
        <f>Clothing!F207</f>
        <v>1567.7962414532001</v>
      </c>
    </row>
    <row r="13" spans="1:12">
      <c r="A13" t="s">
        <v>2255</v>
      </c>
      <c r="B13">
        <f>Clothing!B208</f>
        <v>2012</v>
      </c>
      <c r="C13" t="str">
        <f>Clothing!C208</f>
        <v>PUR</v>
      </c>
      <c r="D13" s="217">
        <f>Clothing!F208</f>
        <v>204.16214888190001</v>
      </c>
    </row>
    <row r="14" spans="1:12">
      <c r="A14" t="s">
        <v>2255</v>
      </c>
      <c r="B14">
        <f>Clothing!B209</f>
        <v>2012</v>
      </c>
      <c r="C14" t="str">
        <f>Clothing!C209</f>
        <v>PVC</v>
      </c>
      <c r="D14" s="217">
        <f>Clothing!F209</f>
        <v>131.30170402723002</v>
      </c>
    </row>
    <row r="15" spans="1:12">
      <c r="A15" t="s">
        <v>2255</v>
      </c>
      <c r="B15">
        <f>Clothing!B210</f>
        <v>2012</v>
      </c>
      <c r="C15" t="str">
        <f>Clothing!C210</f>
        <v>RUBBER</v>
      </c>
      <c r="D15" s="217">
        <f>Clothing!F210</f>
        <v>270.46611317362999</v>
      </c>
    </row>
    <row r="16" spans="1:12">
      <c r="A16" t="s">
        <v>2255</v>
      </c>
      <c r="B16">
        <f>Clothing!B211</f>
        <v>2013</v>
      </c>
      <c r="C16" t="str">
        <f>Clothing!C211</f>
        <v>Acryl</v>
      </c>
      <c r="D16" s="217">
        <f>Clothing!F211</f>
        <v>143.88991251921001</v>
      </c>
    </row>
    <row r="17" spans="1:4">
      <c r="A17" t="s">
        <v>2255</v>
      </c>
      <c r="B17">
        <f>Clothing!B212</f>
        <v>2013</v>
      </c>
      <c r="C17" t="str">
        <f>Clothing!C212</f>
        <v>OTHER</v>
      </c>
      <c r="D17" s="217">
        <f>Clothing!F212</f>
        <v>279.07902395307002</v>
      </c>
    </row>
    <row r="18" spans="1:4">
      <c r="A18" t="s">
        <v>2255</v>
      </c>
      <c r="B18">
        <f>Clothing!B213</f>
        <v>2013</v>
      </c>
      <c r="C18" t="str">
        <f>Clothing!C213</f>
        <v>PA</v>
      </c>
      <c r="D18" s="217">
        <f>Clothing!F213</f>
        <v>307.66171836862003</v>
      </c>
    </row>
    <row r="19" spans="1:4">
      <c r="A19" t="s">
        <v>2255</v>
      </c>
      <c r="B19">
        <f>Clothing!B214</f>
        <v>2013</v>
      </c>
      <c r="C19" t="str">
        <f>Clothing!C214</f>
        <v>PET</v>
      </c>
      <c r="D19" s="217">
        <f>Clothing!F214</f>
        <v>1649.6006392701001</v>
      </c>
    </row>
    <row r="20" spans="1:4">
      <c r="A20" t="s">
        <v>2255</v>
      </c>
      <c r="B20">
        <f>Clothing!B215</f>
        <v>2013</v>
      </c>
      <c r="C20" t="str">
        <f>Clothing!C215</f>
        <v>PUR</v>
      </c>
      <c r="D20" s="217">
        <f>Clothing!F215</f>
        <v>210.79604594719001</v>
      </c>
    </row>
    <row r="21" spans="1:4">
      <c r="A21" t="s">
        <v>2255</v>
      </c>
      <c r="B21">
        <f>Clothing!B216</f>
        <v>2013</v>
      </c>
      <c r="C21" t="str">
        <f>Clothing!C216</f>
        <v>PVC</v>
      </c>
      <c r="D21" s="217">
        <f>Clothing!F216</f>
        <v>135.62339461836001</v>
      </c>
    </row>
    <row r="22" spans="1:4">
      <c r="A22" t="s">
        <v>2255</v>
      </c>
      <c r="B22">
        <f>Clothing!B217</f>
        <v>2013</v>
      </c>
      <c r="C22" t="str">
        <f>Clothing!C217</f>
        <v>RUBBER</v>
      </c>
      <c r="D22" s="217">
        <f>Clothing!F217</f>
        <v>280.06817039597001</v>
      </c>
    </row>
    <row r="23" spans="1:4">
      <c r="A23" t="s">
        <v>2255</v>
      </c>
      <c r="B23">
        <f>Clothing!B218</f>
        <v>2014</v>
      </c>
      <c r="C23" t="str">
        <f>Clothing!C218</f>
        <v>Acryl</v>
      </c>
      <c r="D23" s="217">
        <f>Clothing!F218</f>
        <v>161.93428767670002</v>
      </c>
    </row>
    <row r="24" spans="1:4">
      <c r="A24" t="s">
        <v>2255</v>
      </c>
      <c r="B24">
        <f>Clothing!B219</f>
        <v>2014</v>
      </c>
      <c r="C24" t="str">
        <f>Clothing!C219</f>
        <v>OTHER</v>
      </c>
      <c r="D24" s="217">
        <f>Clothing!F219</f>
        <v>306.41922509660003</v>
      </c>
    </row>
    <row r="25" spans="1:4">
      <c r="A25" t="s">
        <v>2255</v>
      </c>
      <c r="B25">
        <f>Clothing!B220</f>
        <v>2014</v>
      </c>
      <c r="C25" t="str">
        <f>Clothing!C220</f>
        <v>PA</v>
      </c>
      <c r="D25" s="217">
        <f>Clothing!F220</f>
        <v>337.63912985880006</v>
      </c>
    </row>
    <row r="26" spans="1:4">
      <c r="A26" t="s">
        <v>2255</v>
      </c>
      <c r="B26">
        <f>Clothing!B221</f>
        <v>2014</v>
      </c>
      <c r="C26" t="str">
        <f>Clothing!C221</f>
        <v>PET</v>
      </c>
      <c r="D26" s="217">
        <f>Clothing!F221</f>
        <v>1805.1838996895001</v>
      </c>
    </row>
    <row r="27" spans="1:4">
      <c r="A27" t="s">
        <v>2255</v>
      </c>
      <c r="B27">
        <f>Clothing!B222</f>
        <v>2014</v>
      </c>
      <c r="C27" t="str">
        <f>Clothing!C222</f>
        <v>PUR</v>
      </c>
      <c r="D27" s="217">
        <f>Clothing!F222</f>
        <v>226.99137753985005</v>
      </c>
    </row>
    <row r="28" spans="1:4">
      <c r="A28" t="s">
        <v>2255</v>
      </c>
      <c r="B28">
        <f>Clothing!B223</f>
        <v>2014</v>
      </c>
      <c r="C28" t="str">
        <f>Clothing!C223</f>
        <v>PVC</v>
      </c>
      <c r="D28" s="217">
        <f>Clothing!F223</f>
        <v>146.17026346714002</v>
      </c>
    </row>
    <row r="29" spans="1:4">
      <c r="A29" t="s">
        <v>2255</v>
      </c>
      <c r="B29">
        <f>Clothing!B224</f>
        <v>2014</v>
      </c>
      <c r="C29" t="str">
        <f>Clothing!C224</f>
        <v>RUBBER</v>
      </c>
      <c r="D29" s="217">
        <f>Clothing!F224</f>
        <v>302.17118813354</v>
      </c>
    </row>
    <row r="30" spans="1:4">
      <c r="A30" t="s">
        <v>2255</v>
      </c>
      <c r="B30">
        <f>Clothing!B225</f>
        <v>2015</v>
      </c>
      <c r="C30" t="str">
        <f>Clothing!C225</f>
        <v>Acryl</v>
      </c>
      <c r="D30" s="217">
        <f>Clothing!F225</f>
        <v>152.38336591346001</v>
      </c>
    </row>
    <row r="31" spans="1:4">
      <c r="A31" t="s">
        <v>2255</v>
      </c>
      <c r="B31">
        <f>Clothing!B226</f>
        <v>2015</v>
      </c>
      <c r="C31" t="str">
        <f>Clothing!C226</f>
        <v>OTHER</v>
      </c>
      <c r="D31" s="217">
        <f>Clothing!F226</f>
        <v>281.90838725291002</v>
      </c>
    </row>
    <row r="32" spans="1:4">
      <c r="A32" t="s">
        <v>2255</v>
      </c>
      <c r="B32">
        <f>Clothing!B227</f>
        <v>2015</v>
      </c>
      <c r="C32" t="str">
        <f>Clothing!C227</f>
        <v>PA</v>
      </c>
      <c r="D32" s="217">
        <f>Clothing!F227</f>
        <v>321.11673954151001</v>
      </c>
    </row>
    <row r="33" spans="1:4">
      <c r="A33" t="s">
        <v>2255</v>
      </c>
      <c r="B33">
        <f>Clothing!B228</f>
        <v>2015</v>
      </c>
      <c r="C33" t="str">
        <f>Clothing!C228</f>
        <v>PET</v>
      </c>
      <c r="D33" s="217">
        <f>Clothing!F228</f>
        <v>1727.9883326739002</v>
      </c>
    </row>
    <row r="34" spans="1:4">
      <c r="A34" t="s">
        <v>2255</v>
      </c>
      <c r="B34">
        <f>Clothing!B229</f>
        <v>2015</v>
      </c>
      <c r="C34" t="str">
        <f>Clothing!C229</f>
        <v>PUR</v>
      </c>
      <c r="D34" s="217">
        <f>Clothing!F229</f>
        <v>215.90675247559003</v>
      </c>
    </row>
    <row r="35" spans="1:4">
      <c r="A35" t="s">
        <v>2255</v>
      </c>
      <c r="B35">
        <f>Clothing!B230</f>
        <v>2015</v>
      </c>
      <c r="C35" t="str">
        <f>Clothing!C230</f>
        <v>PVC</v>
      </c>
      <c r="D35" s="217">
        <f>Clothing!F230</f>
        <v>138.42083903769003</v>
      </c>
    </row>
    <row r="36" spans="1:4">
      <c r="A36" t="s">
        <v>2255</v>
      </c>
      <c r="B36">
        <f>Clothing!B231</f>
        <v>2015</v>
      </c>
      <c r="C36" t="str">
        <f>Clothing!C231</f>
        <v>RUBBER</v>
      </c>
      <c r="D36" s="217">
        <f>Clothing!F231</f>
        <v>279.47549272511003</v>
      </c>
    </row>
    <row r="37" spans="1:4">
      <c r="A37" t="s">
        <v>2255</v>
      </c>
      <c r="B37">
        <f>Clothing!B232</f>
        <v>2016</v>
      </c>
      <c r="C37" t="str">
        <f>Clothing!C232</f>
        <v>Acryl</v>
      </c>
      <c r="D37" s="217">
        <f>Clothing!F232</f>
        <v>159.06467198072002</v>
      </c>
    </row>
    <row r="38" spans="1:4">
      <c r="A38" t="s">
        <v>2255</v>
      </c>
      <c r="B38">
        <f>Clothing!B233</f>
        <v>2016</v>
      </c>
      <c r="C38" t="str">
        <f>Clothing!C233</f>
        <v>OTHER</v>
      </c>
      <c r="D38" s="217">
        <f>Clothing!F233</f>
        <v>284.71284838997002</v>
      </c>
    </row>
    <row r="39" spans="1:4">
      <c r="A39" t="s">
        <v>2255</v>
      </c>
      <c r="B39">
        <f>Clothing!B234</f>
        <v>2016</v>
      </c>
      <c r="C39" t="str">
        <f>Clothing!C234</f>
        <v>PA</v>
      </c>
      <c r="D39" s="217">
        <f>Clothing!F234</f>
        <v>334.75236411298005</v>
      </c>
    </row>
    <row r="40" spans="1:4">
      <c r="A40" t="s">
        <v>2255</v>
      </c>
      <c r="B40">
        <f>Clothing!B235</f>
        <v>2016</v>
      </c>
      <c r="C40" t="str">
        <f>Clothing!C235</f>
        <v>PET</v>
      </c>
      <c r="D40" s="217">
        <f>Clothing!F235</f>
        <v>1791.0565565387001</v>
      </c>
    </row>
    <row r="41" spans="1:4">
      <c r="A41" t="s">
        <v>2255</v>
      </c>
      <c r="B41">
        <f>Clothing!B236</f>
        <v>2016</v>
      </c>
      <c r="C41" t="str">
        <f>Clothing!C236</f>
        <v>PUR</v>
      </c>
      <c r="D41" s="217">
        <f>Clothing!F236</f>
        <v>212.98091760198</v>
      </c>
    </row>
    <row r="42" spans="1:4">
      <c r="A42" t="s">
        <v>2255</v>
      </c>
      <c r="B42">
        <f>Clothing!B237</f>
        <v>2016</v>
      </c>
      <c r="C42" t="str">
        <f>Clothing!C237</f>
        <v>PVC</v>
      </c>
      <c r="D42" s="217">
        <f>Clothing!F237</f>
        <v>136.57152263326</v>
      </c>
    </row>
    <row r="43" spans="1:4">
      <c r="A43" t="s">
        <v>2255</v>
      </c>
      <c r="B43">
        <f>Clothing!B238</f>
        <v>2016</v>
      </c>
      <c r="C43" t="str">
        <f>Clothing!C238</f>
        <v>RUBBER</v>
      </c>
      <c r="D43" s="217">
        <f>Clothing!F238</f>
        <v>276.36549065906001</v>
      </c>
    </row>
    <row r="44" spans="1:4">
      <c r="A44" t="s">
        <v>2255</v>
      </c>
      <c r="B44">
        <f>Clothing!B239</f>
        <v>2017</v>
      </c>
      <c r="C44" t="str">
        <f>Clothing!C239</f>
        <v>Acryl</v>
      </c>
      <c r="D44" s="217">
        <f>Clothing!F239</f>
        <v>169.42086167259004</v>
      </c>
    </row>
    <row r="45" spans="1:4">
      <c r="A45" t="s">
        <v>2255</v>
      </c>
      <c r="B45">
        <f>Clothing!B240</f>
        <v>2017</v>
      </c>
      <c r="C45" t="str">
        <f>Clothing!C240</f>
        <v>OTHER</v>
      </c>
      <c r="D45" s="217">
        <f>Clothing!F240</f>
        <v>300.85920562126006</v>
      </c>
    </row>
    <row r="46" spans="1:4">
      <c r="A46" t="s">
        <v>2255</v>
      </c>
      <c r="B46">
        <f>Clothing!B241</f>
        <v>2017</v>
      </c>
      <c r="C46" t="str">
        <f>Clothing!C241</f>
        <v>PA</v>
      </c>
      <c r="D46" s="217">
        <f>Clothing!F241</f>
        <v>354.50137172527002</v>
      </c>
    </row>
    <row r="47" spans="1:4">
      <c r="A47" t="s">
        <v>2255</v>
      </c>
      <c r="B47">
        <f>Clothing!B242</f>
        <v>2017</v>
      </c>
      <c r="C47" t="str">
        <f>Clothing!C242</f>
        <v>PET</v>
      </c>
      <c r="D47" s="217">
        <f>Clothing!F242</f>
        <v>1875.4771184798001</v>
      </c>
    </row>
    <row r="48" spans="1:4">
      <c r="A48" t="s">
        <v>2255</v>
      </c>
      <c r="B48">
        <f>Clothing!B243</f>
        <v>2017</v>
      </c>
      <c r="C48" t="str">
        <f>Clothing!C243</f>
        <v>PUR</v>
      </c>
      <c r="D48" s="217">
        <f>Clothing!F243</f>
        <v>223.04008716869004</v>
      </c>
    </row>
    <row r="49" spans="1:4">
      <c r="A49" t="s">
        <v>2255</v>
      </c>
      <c r="B49">
        <f>Clothing!B244</f>
        <v>2017</v>
      </c>
      <c r="C49" t="str">
        <f>Clothing!C244</f>
        <v>PVC</v>
      </c>
      <c r="D49" s="217">
        <f>Clothing!F244</f>
        <v>143.14805852534002</v>
      </c>
    </row>
    <row r="50" spans="1:4">
      <c r="A50" t="s">
        <v>2255</v>
      </c>
      <c r="B50">
        <f>Clothing!B245</f>
        <v>2017</v>
      </c>
      <c r="C50" t="str">
        <f>Clothing!C245</f>
        <v>RUBBER</v>
      </c>
      <c r="D50" s="217">
        <f>Clothing!F245</f>
        <v>291.14012263886002</v>
      </c>
    </row>
    <row r="51" spans="1:4">
      <c r="A51" t="s">
        <v>2255</v>
      </c>
      <c r="B51">
        <f>Clothing!B246</f>
        <v>2018</v>
      </c>
      <c r="C51" t="str">
        <f>Clothing!C246</f>
        <v>Acryl</v>
      </c>
      <c r="D51" s="217">
        <f>Clothing!F246</f>
        <v>186.16067266467002</v>
      </c>
    </row>
    <row r="52" spans="1:4">
      <c r="A52" t="s">
        <v>2255</v>
      </c>
      <c r="B52">
        <f>Clothing!B247</f>
        <v>2018</v>
      </c>
      <c r="C52" t="str">
        <f>Clothing!C247</f>
        <v>OTHER</v>
      </c>
      <c r="D52" s="217">
        <f>Clothing!F247</f>
        <v>339.29194198086003</v>
      </c>
    </row>
    <row r="53" spans="1:4">
      <c r="A53" t="s">
        <v>2255</v>
      </c>
      <c r="B53">
        <f>Clothing!B248</f>
        <v>2018</v>
      </c>
      <c r="C53" t="str">
        <f>Clothing!C248</f>
        <v>PA</v>
      </c>
      <c r="D53" s="217">
        <f>Clothing!F248</f>
        <v>396.51420642317004</v>
      </c>
    </row>
    <row r="54" spans="1:4">
      <c r="A54" t="s">
        <v>2255</v>
      </c>
      <c r="B54">
        <f>Clothing!B249</f>
        <v>2018</v>
      </c>
      <c r="C54" t="str">
        <f>Clothing!C249</f>
        <v>PET</v>
      </c>
      <c r="D54" s="217">
        <f>Clothing!F249</f>
        <v>2061.3555308324003</v>
      </c>
    </row>
    <row r="55" spans="1:4">
      <c r="A55" t="s">
        <v>2255</v>
      </c>
      <c r="B55">
        <f>Clothing!B250</f>
        <v>2018</v>
      </c>
      <c r="C55" t="str">
        <f>Clothing!C250</f>
        <v>PUR</v>
      </c>
      <c r="D55" s="217">
        <f>Clothing!F250</f>
        <v>235.25733970343001</v>
      </c>
    </row>
    <row r="56" spans="1:4">
      <c r="A56" t="s">
        <v>2255</v>
      </c>
      <c r="B56">
        <f>Clothing!B251</f>
        <v>2018</v>
      </c>
      <c r="C56" t="str">
        <f>Clothing!C251</f>
        <v>PVC</v>
      </c>
      <c r="D56" s="217">
        <f>Clothing!F251</f>
        <v>151.74779473601001</v>
      </c>
    </row>
    <row r="57" spans="1:4">
      <c r="A57" t="s">
        <v>2255</v>
      </c>
      <c r="B57">
        <f>Clothing!B252</f>
        <v>2018</v>
      </c>
      <c r="C57" t="str">
        <f>Clothing!C252</f>
        <v>RUBBER</v>
      </c>
      <c r="D57" s="217">
        <f>Clothing!F252</f>
        <v>317.04740095545009</v>
      </c>
    </row>
    <row r="58" spans="1:4">
      <c r="A58" t="s">
        <v>2255</v>
      </c>
      <c r="B58">
        <f>Clothing!B253</f>
        <v>2019</v>
      </c>
      <c r="C58" t="str">
        <f>Clothing!C253</f>
        <v>Acryl</v>
      </c>
      <c r="D58" s="217">
        <f>Clothing!F253</f>
        <v>180.20840788181002</v>
      </c>
    </row>
    <row r="59" spans="1:4">
      <c r="A59" t="s">
        <v>2255</v>
      </c>
      <c r="B59">
        <f>Clothing!B254</f>
        <v>2019</v>
      </c>
      <c r="C59" t="str">
        <f>Clothing!C254</f>
        <v>OTHER</v>
      </c>
      <c r="D59" s="217">
        <f>Clothing!F254</f>
        <v>334.04118283943006</v>
      </c>
    </row>
    <row r="60" spans="1:4">
      <c r="A60" t="s">
        <v>2255</v>
      </c>
      <c r="B60">
        <f>Clothing!B255</f>
        <v>2019</v>
      </c>
      <c r="C60" t="str">
        <f>Clothing!C255</f>
        <v>PA</v>
      </c>
      <c r="D60" s="217">
        <f>Clothing!F255</f>
        <v>388.07741730505001</v>
      </c>
    </row>
    <row r="61" spans="1:4">
      <c r="A61" t="s">
        <v>2255</v>
      </c>
      <c r="B61">
        <f>Clothing!B256</f>
        <v>2019</v>
      </c>
      <c r="C61" t="str">
        <f>Clothing!C256</f>
        <v>PET</v>
      </c>
      <c r="D61" s="217">
        <f>Clothing!F256</f>
        <v>2021.6919838225003</v>
      </c>
    </row>
    <row r="62" spans="1:4">
      <c r="A62" t="s">
        <v>2255</v>
      </c>
      <c r="B62">
        <f>Clothing!B257</f>
        <v>2019</v>
      </c>
      <c r="C62" t="str">
        <f>Clothing!C257</f>
        <v>PUR</v>
      </c>
      <c r="D62" s="217">
        <f>Clothing!F257</f>
        <v>232.85122403554001</v>
      </c>
    </row>
    <row r="63" spans="1:4">
      <c r="A63" t="s">
        <v>2255</v>
      </c>
      <c r="B63">
        <f>Clothing!B258</f>
        <v>2019</v>
      </c>
      <c r="C63" t="str">
        <f>Clothing!C258</f>
        <v>PVC</v>
      </c>
      <c r="D63" s="217">
        <f>Clothing!F258</f>
        <v>149.99565986636</v>
      </c>
    </row>
    <row r="64" spans="1:4">
      <c r="A64" t="s">
        <v>2255</v>
      </c>
      <c r="B64">
        <f>Clothing!B259</f>
        <v>2019</v>
      </c>
      <c r="C64" t="str">
        <f>Clothing!C259</f>
        <v>RUBBER</v>
      </c>
      <c r="D64" s="217">
        <f>Clothing!F259</f>
        <v>310.25023216472999</v>
      </c>
    </row>
    <row r="65" spans="1:4">
      <c r="A65" t="s">
        <v>2255</v>
      </c>
      <c r="B65">
        <f>Clothing!B260</f>
        <v>2020</v>
      </c>
      <c r="C65" t="str">
        <f>Clothing!C260</f>
        <v>Acryl</v>
      </c>
      <c r="D65" s="217">
        <f>Clothing!F260</f>
        <v>149.37983568618</v>
      </c>
    </row>
    <row r="66" spans="1:4">
      <c r="A66" t="s">
        <v>2255</v>
      </c>
      <c r="B66">
        <f>Clothing!B261</f>
        <v>2020</v>
      </c>
      <c r="C66" t="str">
        <f>Clothing!C261</f>
        <v>OTHER</v>
      </c>
      <c r="D66" s="217">
        <f>Clothing!F261</f>
        <v>265.42946513952</v>
      </c>
    </row>
    <row r="67" spans="1:4">
      <c r="A67" t="s">
        <v>2255</v>
      </c>
      <c r="B67">
        <f>Clothing!B262</f>
        <v>2020</v>
      </c>
      <c r="C67" t="str">
        <f>Clothing!C262</f>
        <v>PA</v>
      </c>
      <c r="D67" s="217">
        <f>Clothing!F262</f>
        <v>314.78226451474001</v>
      </c>
    </row>
    <row r="68" spans="1:4">
      <c r="A68" t="s">
        <v>2255</v>
      </c>
      <c r="B68">
        <f>Clothing!B263</f>
        <v>2020</v>
      </c>
      <c r="C68" t="str">
        <f>Clothing!C263</f>
        <v>PET</v>
      </c>
      <c r="D68" s="217">
        <f>Clothing!F263</f>
        <v>1614.0823512396003</v>
      </c>
    </row>
    <row r="69" spans="1:4">
      <c r="A69" t="s">
        <v>2255</v>
      </c>
      <c r="B69">
        <f>Clothing!B264</f>
        <v>2020</v>
      </c>
      <c r="C69" t="str">
        <f>Clothing!C264</f>
        <v>PUR</v>
      </c>
      <c r="D69" s="217">
        <f>Clothing!F264</f>
        <v>187.31320436202003</v>
      </c>
    </row>
    <row r="70" spans="1:4">
      <c r="A70" t="s">
        <v>2255</v>
      </c>
      <c r="B70">
        <f>Clothing!B265</f>
        <v>2020</v>
      </c>
      <c r="C70" t="str">
        <f>Clothing!C265</f>
        <v>PVC</v>
      </c>
      <c r="D70" s="217">
        <f>Clothing!F265</f>
        <v>120.26545307722002</v>
      </c>
    </row>
    <row r="71" spans="1:4">
      <c r="A71" t="s">
        <v>2255</v>
      </c>
      <c r="B71">
        <f>Clothing!B266</f>
        <v>2020</v>
      </c>
      <c r="C71" t="str">
        <f>Clothing!C266</f>
        <v>RUBBER</v>
      </c>
      <c r="D71" s="217">
        <f>Clothing!F266</f>
        <v>243.62107705914002</v>
      </c>
    </row>
    <row r="72" spans="1:4">
      <c r="A72" t="s">
        <v>2255</v>
      </c>
      <c r="B72">
        <f>Clothing!B267</f>
        <v>2021</v>
      </c>
      <c r="C72" t="str">
        <f>Clothing!C267</f>
        <v>Acryl</v>
      </c>
      <c r="D72" s="217">
        <f>Clothing!F267</f>
        <v>163.73876855776001</v>
      </c>
    </row>
    <row r="73" spans="1:4">
      <c r="A73" t="s">
        <v>2255</v>
      </c>
      <c r="B73">
        <f>Clothing!B268</f>
        <v>2021</v>
      </c>
      <c r="C73" t="str">
        <f>Clothing!C268</f>
        <v>OTHER</v>
      </c>
      <c r="D73" s="217">
        <f>Clothing!F268</f>
        <v>279.41777743847001</v>
      </c>
    </row>
    <row r="74" spans="1:4">
      <c r="A74" t="s">
        <v>2255</v>
      </c>
      <c r="B74">
        <f>Clothing!B269</f>
        <v>2021</v>
      </c>
      <c r="C74" t="str">
        <f>Clothing!C269</f>
        <v>PA</v>
      </c>
      <c r="D74" s="217">
        <f>Clothing!F269</f>
        <v>343.97781678909007</v>
      </c>
    </row>
    <row r="75" spans="1:4">
      <c r="A75" t="s">
        <v>2255</v>
      </c>
      <c r="B75">
        <f>Clothing!B270</f>
        <v>2021</v>
      </c>
      <c r="C75" t="str">
        <f>Clothing!C270</f>
        <v>PET</v>
      </c>
      <c r="D75" s="217">
        <f>Clothing!F270</f>
        <v>1728.9410504058003</v>
      </c>
    </row>
    <row r="76" spans="1:4">
      <c r="A76" t="s">
        <v>2255</v>
      </c>
      <c r="B76">
        <f>Clothing!B271</f>
        <v>2021</v>
      </c>
      <c r="C76" t="str">
        <f>Clothing!C271</f>
        <v>PUR</v>
      </c>
      <c r="D76" s="217">
        <f>Clothing!F271</f>
        <v>179.93181003193001</v>
      </c>
    </row>
    <row r="77" spans="1:4">
      <c r="A77" t="s">
        <v>2255</v>
      </c>
      <c r="B77">
        <f>Clothing!B272</f>
        <v>2021</v>
      </c>
      <c r="C77" t="str">
        <f>Clothing!C272</f>
        <v>PVC</v>
      </c>
      <c r="D77" s="217">
        <f>Clothing!F272</f>
        <v>115.93559325227001</v>
      </c>
    </row>
    <row r="78" spans="1:4">
      <c r="A78" t="s">
        <v>2255</v>
      </c>
      <c r="B78">
        <f>Clothing!B273</f>
        <v>2021</v>
      </c>
      <c r="C78" t="str">
        <f>Clothing!C273</f>
        <v>RUBBER</v>
      </c>
      <c r="D78" s="217">
        <f>Clothing!F273</f>
        <v>239.33684514850003</v>
      </c>
    </row>
    <row r="79" spans="1:4">
      <c r="A79" t="s">
        <v>2255</v>
      </c>
      <c r="B79">
        <f>Clothing!B274</f>
        <v>2022</v>
      </c>
      <c r="C79" t="str">
        <f>Clothing!C274</f>
        <v>Acryl</v>
      </c>
      <c r="D79" s="217">
        <f>Clothing!F274</f>
        <v>201.67297066609004</v>
      </c>
    </row>
    <row r="80" spans="1:4">
      <c r="A80" t="s">
        <v>2255</v>
      </c>
      <c r="B80">
        <f>Clothing!B275</f>
        <v>2022</v>
      </c>
      <c r="C80" t="str">
        <f>Clothing!C275</f>
        <v>OTHER</v>
      </c>
      <c r="D80" s="217">
        <f>Clothing!F275</f>
        <v>349.23428105280004</v>
      </c>
    </row>
    <row r="81" spans="1:4">
      <c r="A81" t="s">
        <v>2255</v>
      </c>
      <c r="B81">
        <f>Clothing!B276</f>
        <v>2022</v>
      </c>
      <c r="C81" t="str">
        <f>Clothing!C276</f>
        <v>PA</v>
      </c>
      <c r="D81" s="217">
        <f>Clothing!F276</f>
        <v>423.0564806418501</v>
      </c>
    </row>
    <row r="82" spans="1:4">
      <c r="A82" t="s">
        <v>2255</v>
      </c>
      <c r="B82">
        <f>Clothing!B277</f>
        <v>2022</v>
      </c>
      <c r="C82" t="str">
        <f>Clothing!C277</f>
        <v>PET</v>
      </c>
      <c r="D82" s="217">
        <f>Clothing!F277</f>
        <v>2122.2145481779003</v>
      </c>
    </row>
    <row r="83" spans="1:4">
      <c r="A83" t="s">
        <v>2255</v>
      </c>
      <c r="B83">
        <f>Clothing!B278</f>
        <v>2022</v>
      </c>
      <c r="C83" t="str">
        <f>Clothing!C278</f>
        <v>PUR</v>
      </c>
      <c r="D83" s="217">
        <f>Clothing!F278</f>
        <v>233.00514071538004</v>
      </c>
    </row>
    <row r="84" spans="1:4">
      <c r="A84" t="s">
        <v>2255</v>
      </c>
      <c r="B84">
        <f>Clothing!B279</f>
        <v>2022</v>
      </c>
      <c r="C84" t="str">
        <f>Clothing!C279</f>
        <v>PVC</v>
      </c>
      <c r="D84" s="217">
        <f>Clothing!F279</f>
        <v>150.15713639971003</v>
      </c>
    </row>
    <row r="85" spans="1:4">
      <c r="A85" t="s">
        <v>2255</v>
      </c>
      <c r="B85">
        <f>Clothing!B280</f>
        <v>2022</v>
      </c>
      <c r="C85" t="str">
        <f>Clothing!C280</f>
        <v>RUBBER</v>
      </c>
      <c r="D85" s="217">
        <f>Clothing!F280</f>
        <v>310.53656079270007</v>
      </c>
    </row>
  </sheetData>
  <conditionalFormatting sqref="D1">
    <cfRule type="cellIs" dxfId="2" priority="1" operator="greaterThan">
      <formula>0</formula>
    </cfRule>
    <cfRule type="cellIs" dxfId="1" priority="2" operator="equal">
      <formula>0</formula>
    </cfRule>
  </conditionalFormatting>
  <conditionalFormatting sqref="K1">
    <cfRule type="containsBlanks" dxfId="0" priority="3">
      <formula>LEN(TRIM(K1))=0</formula>
    </cfRule>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7711B296-E2B3-4EB8-832A-36716F7B0382}">
  <ds:schemaRefs>
    <ds:schemaRef ds:uri="http://www.w3.org/XML/1998/namespace"/>
    <ds:schemaRef ds:uri="http://purl.org/dc/dcmitype/"/>
    <ds:schemaRef ds:uri="http://schemas.openxmlformats.org/package/2006/metadata/core-properties"/>
    <ds:schemaRef ds:uri="http://schemas.microsoft.com/office/2006/documentManagement/types"/>
    <ds:schemaRef ds:uri="http://schemas.microsoft.com/office/infopath/2007/PartnerControls"/>
    <ds:schemaRef ds:uri="http://purl.org/dc/terms/"/>
    <ds:schemaRef ds:uri="http://schemas.microsoft.com/sharepoint/v3"/>
    <ds:schemaRef ds:uri="f5c8fe0e-f8db-4fac-9fd3-e69469f9c90b"/>
    <ds:schemaRef ds:uri="http://purl.org/dc/elements/1.1/"/>
    <ds:schemaRef ds:uri="0577e6a0-5f74-4659-a81a-c7bdc984432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13</vt:i4>
      </vt:variant>
    </vt:vector>
  </HeadingPairs>
  <TitlesOfParts>
    <vt:vector size="42" baseType="lpstr">
      <vt:lpstr>README</vt:lpstr>
      <vt:lpstr>Data Quality Indicators</vt:lpstr>
      <vt:lpstr>Materials</vt:lpstr>
      <vt:lpstr>Input_NL</vt:lpstr>
      <vt:lpstr>Input_EU</vt:lpstr>
      <vt:lpstr>Transfer coefficients</vt:lpstr>
      <vt:lpstr>Clothing</vt:lpstr>
      <vt:lpstr>Clothing calculations</vt:lpstr>
      <vt:lpstr>WWTP TCs</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Input_Global</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2025-10-01T11:41:35Z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